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BDI" sheetId="32" r:id="rId1"/>
    <sheet name="Resumo bloco A" sheetId="18" state="hidden" r:id="rId2"/>
    <sheet name="Resumo bloco B" sheetId="17" state="hidden" r:id="rId3"/>
    <sheet name="MC - CERCA" sheetId="14" state="hidden" r:id="rId4"/>
    <sheet name="Valores" sheetId="2" state="hidden" r:id="rId5"/>
    <sheet name="MC PAINÉIS" sheetId="19" state="hidden" r:id="rId6"/>
    <sheet name="ABRIGO GERADOR" sheetId="15" state="hidden" r:id="rId7"/>
    <sheet name="Resumo bloco C" sheetId="8" state="hidden" r:id="rId8"/>
    <sheet name="Resumo bloco D" sheetId="13" state="hidden" r:id="rId9"/>
    <sheet name="Resumo bloco E " sheetId="10" state="hidden" r:id="rId10"/>
    <sheet name="Resumo bloco F" sheetId="12" state="hidden" r:id="rId11"/>
    <sheet name="Planilha1" sheetId="5" state="hidden" r:id="rId12"/>
  </sheets>
  <definedNames>
    <definedName name="_xlnm.Print_Area" localSheetId="4">Valores!$A$1:$I$12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" i="32" l="1"/>
  <c r="H28" i="32" l="1"/>
  <c r="D7" i="18" l="1"/>
  <c r="C7" i="18"/>
  <c r="B5" i="18"/>
  <c r="B4" i="18"/>
  <c r="B3" i="18"/>
  <c r="B4" i="17"/>
  <c r="B5" i="17"/>
  <c r="B3" i="17"/>
  <c r="B7" i="17" s="1"/>
  <c r="D7" i="17"/>
  <c r="C7" i="17"/>
  <c r="E25" i="15"/>
  <c r="E26" i="15"/>
  <c r="B38" i="15"/>
  <c r="E28" i="15"/>
  <c r="C35" i="15" s="1"/>
  <c r="D35" i="15" s="1"/>
  <c r="E29" i="15"/>
  <c r="B41" i="15"/>
  <c r="E30" i="15"/>
  <c r="C36" i="15" s="1"/>
  <c r="B42" i="15"/>
  <c r="W3" i="15"/>
  <c r="Y3" i="15" s="1"/>
  <c r="W22" i="15" s="1"/>
  <c r="V27" i="15"/>
  <c r="Y4" i="15"/>
  <c r="W23" i="15" s="1"/>
  <c r="V28" i="15"/>
  <c r="Y5" i="15"/>
  <c r="Y6" i="15"/>
  <c r="Y7" i="15"/>
  <c r="Y8" i="15"/>
  <c r="Y9" i="15"/>
  <c r="V29" i="15"/>
  <c r="W25" i="15"/>
  <c r="V30" i="15"/>
  <c r="O3" i="15"/>
  <c r="M22" i="15" s="1"/>
  <c r="L27" i="15"/>
  <c r="O4" i="15"/>
  <c r="M23" i="15" s="1"/>
  <c r="L28" i="15"/>
  <c r="O5" i="15"/>
  <c r="O6" i="15"/>
  <c r="O7" i="15"/>
  <c r="O8" i="15"/>
  <c r="O9" i="15"/>
  <c r="O10" i="15"/>
  <c r="O11" i="15"/>
  <c r="O12" i="15"/>
  <c r="O13" i="15"/>
  <c r="O14" i="15"/>
  <c r="O15" i="15"/>
  <c r="O16" i="15"/>
  <c r="L29" i="15"/>
  <c r="O17" i="15"/>
  <c r="M25" i="15" s="1"/>
  <c r="L30" i="15"/>
  <c r="E3" i="15"/>
  <c r="E4" i="15"/>
  <c r="C12" i="15"/>
  <c r="D12" i="15" s="1"/>
  <c r="B16" i="15"/>
  <c r="E5" i="15"/>
  <c r="E6" i="15"/>
  <c r="E7" i="15"/>
  <c r="B19" i="15"/>
  <c r="E8" i="15"/>
  <c r="C14" i="15" s="1"/>
  <c r="B20" i="15"/>
  <c r="V31" i="15"/>
  <c r="B40" i="15"/>
  <c r="B39" i="15"/>
  <c r="E27" i="15"/>
  <c r="L31" i="15"/>
  <c r="B18" i="15"/>
  <c r="B17" i="15"/>
  <c r="M8" i="2"/>
  <c r="F8" i="2" s="1"/>
  <c r="M7" i="2"/>
  <c r="F7" i="2" s="1"/>
  <c r="M6" i="2"/>
  <c r="F6" i="2" s="1"/>
  <c r="M5" i="2"/>
  <c r="F5" i="2" s="1"/>
  <c r="H3" i="2"/>
  <c r="H4" i="2" s="1"/>
  <c r="M12" i="2"/>
  <c r="F12" i="2" s="1"/>
  <c r="M11" i="2"/>
  <c r="F11" i="2" s="1"/>
  <c r="M10" i="2"/>
  <c r="F10" i="2" s="1"/>
  <c r="M9" i="2"/>
  <c r="F9" i="2" s="1"/>
  <c r="E4" i="14"/>
  <c r="F4" i="14" s="1"/>
  <c r="J5" i="12"/>
  <c r="K5" i="12"/>
  <c r="F9" i="12" s="1"/>
  <c r="F11" i="12" s="1"/>
  <c r="F6" i="12"/>
  <c r="F4" i="12"/>
  <c r="H6" i="12"/>
  <c r="H8" i="12"/>
  <c r="G6" i="12"/>
  <c r="G8" i="12" s="1"/>
  <c r="G12" i="12" s="1"/>
  <c r="I5" i="12"/>
  <c r="E53" i="8"/>
  <c r="E54" i="8"/>
  <c r="E55" i="8"/>
  <c r="E56" i="8"/>
  <c r="E57" i="8"/>
  <c r="E58" i="8" s="1"/>
  <c r="N8" i="13"/>
  <c r="J36" i="13" s="1"/>
  <c r="E39" i="13" s="1"/>
  <c r="E38" i="13"/>
  <c r="E37" i="13"/>
  <c r="P30" i="13"/>
  <c r="C30" i="13"/>
  <c r="I30" i="13"/>
  <c r="W30" i="13"/>
  <c r="G43" i="13" s="1"/>
  <c r="P29" i="13"/>
  <c r="I29" i="13"/>
  <c r="F42" i="13" s="1"/>
  <c r="S3" i="13"/>
  <c r="S4" i="13"/>
  <c r="S5" i="13"/>
  <c r="S6" i="13"/>
  <c r="S7" i="13"/>
  <c r="S8" i="13"/>
  <c r="S9" i="13"/>
  <c r="S10" i="13"/>
  <c r="S11" i="13"/>
  <c r="S12" i="13"/>
  <c r="Q22" i="13" s="1"/>
  <c r="K3" i="13"/>
  <c r="K4" i="13"/>
  <c r="K5" i="13"/>
  <c r="K7" i="13"/>
  <c r="K8" i="13"/>
  <c r="K9" i="13"/>
  <c r="K10" i="13"/>
  <c r="K6" i="13"/>
  <c r="E3" i="13"/>
  <c r="E4" i="13"/>
  <c r="E5" i="13"/>
  <c r="E6" i="13"/>
  <c r="E9" i="13"/>
  <c r="E10" i="13"/>
  <c r="E11" i="13"/>
  <c r="E12" i="13"/>
  <c r="E8" i="13"/>
  <c r="E7" i="13"/>
  <c r="N11" i="13"/>
  <c r="D24" i="13" s="1"/>
  <c r="W29" i="13"/>
  <c r="F43" i="13" s="1"/>
  <c r="G41" i="13"/>
  <c r="F41" i="13"/>
  <c r="C29" i="13"/>
  <c r="N10" i="13"/>
  <c r="N9" i="13"/>
  <c r="J24" i="13" s="1"/>
  <c r="N7" i="13"/>
  <c r="X6" i="13"/>
  <c r="Z6" i="13" s="1"/>
  <c r="X16" i="13" s="1"/>
  <c r="Y16" i="13" s="1"/>
  <c r="X5" i="13"/>
  <c r="Z5" i="13" s="1"/>
  <c r="X4" i="13"/>
  <c r="Z4" i="13" s="1"/>
  <c r="X3" i="13"/>
  <c r="Z3" i="13" s="1"/>
  <c r="K12" i="12"/>
  <c r="H11" i="12"/>
  <c r="H12" i="12" s="1"/>
  <c r="J16" i="12" s="1"/>
  <c r="K16" i="12" s="1"/>
  <c r="G11" i="12"/>
  <c r="L10" i="12"/>
  <c r="M10" i="12" s="1"/>
  <c r="J10" i="12"/>
  <c r="K10" i="12" s="1"/>
  <c r="K13" i="12" s="1"/>
  <c r="L13" i="12" s="1"/>
  <c r="L5" i="12"/>
  <c r="M5" i="12" s="1"/>
  <c r="N5" i="12" s="1"/>
  <c r="F5" i="12"/>
  <c r="Q5" i="12"/>
  <c r="E39" i="8"/>
  <c r="W30" i="10"/>
  <c r="G43" i="10" s="1"/>
  <c r="G41" i="10"/>
  <c r="F37" i="10"/>
  <c r="F41" i="10" s="1"/>
  <c r="E37" i="10"/>
  <c r="E38" i="10"/>
  <c r="E39" i="10"/>
  <c r="P30" i="10"/>
  <c r="I30" i="10"/>
  <c r="C30" i="10"/>
  <c r="G42" i="10" s="1"/>
  <c r="W29" i="10"/>
  <c r="F43" i="10" s="1"/>
  <c r="P29" i="10"/>
  <c r="I29" i="10"/>
  <c r="C29" i="10"/>
  <c r="C24" i="10"/>
  <c r="D24" i="10" s="1"/>
  <c r="N11" i="10"/>
  <c r="K3" i="10"/>
  <c r="I22" i="10" s="1"/>
  <c r="N7" i="10"/>
  <c r="K13" i="10"/>
  <c r="K12" i="10"/>
  <c r="K11" i="10"/>
  <c r="E11" i="10"/>
  <c r="S10" i="10"/>
  <c r="N10" i="10"/>
  <c r="K10" i="10"/>
  <c r="E10" i="10"/>
  <c r="S9" i="10"/>
  <c r="N9" i="10"/>
  <c r="K9" i="10"/>
  <c r="E9" i="10"/>
  <c r="S8" i="10"/>
  <c r="N8" i="10"/>
  <c r="K8" i="10"/>
  <c r="E8" i="10"/>
  <c r="S7" i="10"/>
  <c r="K7" i="10"/>
  <c r="E7" i="10"/>
  <c r="X6" i="10"/>
  <c r="Z6" i="10" s="1"/>
  <c r="X16" i="10" s="1"/>
  <c r="Y16" i="10" s="1"/>
  <c r="S6" i="10"/>
  <c r="Q23" i="10" s="1"/>
  <c r="R23" i="10" s="1"/>
  <c r="Q27" i="10" s="1"/>
  <c r="S5" i="10"/>
  <c r="K6" i="10"/>
  <c r="E6" i="10"/>
  <c r="C23" i="10" s="1"/>
  <c r="D23" i="10" s="1"/>
  <c r="X5" i="10"/>
  <c r="Z5" i="10" s="1"/>
  <c r="K5" i="10"/>
  <c r="I4" i="10"/>
  <c r="K4" i="10" s="1"/>
  <c r="I23" i="10" s="1"/>
  <c r="J23" i="10" s="1"/>
  <c r="E5" i="10"/>
  <c r="E4" i="10"/>
  <c r="E3" i="10"/>
  <c r="C22" i="10"/>
  <c r="D22" i="10" s="1"/>
  <c r="C26" i="10" s="1"/>
  <c r="X4" i="10"/>
  <c r="Z4" i="10" s="1"/>
  <c r="S4" i="10"/>
  <c r="X3" i="10"/>
  <c r="Z3" i="10" s="1"/>
  <c r="S3" i="10"/>
  <c r="G41" i="8"/>
  <c r="F41" i="8"/>
  <c r="E38" i="8"/>
  <c r="E41" i="8" s="1"/>
  <c r="E37" i="8"/>
  <c r="W30" i="8"/>
  <c r="G43" i="8" s="1"/>
  <c r="P30" i="8"/>
  <c r="I30" i="8"/>
  <c r="C30" i="8"/>
  <c r="W29" i="8"/>
  <c r="F43" i="8" s="1"/>
  <c r="P29" i="8"/>
  <c r="I29" i="8"/>
  <c r="C29" i="8"/>
  <c r="E17" i="8"/>
  <c r="E16" i="8"/>
  <c r="E15" i="8"/>
  <c r="E14" i="8"/>
  <c r="E13" i="8"/>
  <c r="E12" i="8"/>
  <c r="N11" i="8"/>
  <c r="K11" i="8"/>
  <c r="E11" i="8"/>
  <c r="N10" i="8"/>
  <c r="K10" i="8"/>
  <c r="E10" i="8"/>
  <c r="N9" i="8"/>
  <c r="K9" i="8"/>
  <c r="E9" i="8"/>
  <c r="N8" i="8"/>
  <c r="K8" i="8"/>
  <c r="E8" i="8"/>
  <c r="S7" i="8"/>
  <c r="N7" i="8"/>
  <c r="K7" i="8"/>
  <c r="E7" i="8"/>
  <c r="X6" i="8"/>
  <c r="Z6" i="8" s="1"/>
  <c r="X16" i="8" s="1"/>
  <c r="Y16" i="8" s="1"/>
  <c r="S6" i="8"/>
  <c r="K6" i="8"/>
  <c r="C6" i="8"/>
  <c r="E6" i="8" s="1"/>
  <c r="X5" i="8"/>
  <c r="Z5" i="8"/>
  <c r="S5" i="8"/>
  <c r="Q23" i="8" s="1"/>
  <c r="R23" i="8" s="1"/>
  <c r="Q27" i="8" s="1"/>
  <c r="K5" i="8"/>
  <c r="I23" i="8" s="1"/>
  <c r="J23" i="8" s="1"/>
  <c r="I27" i="8" s="1"/>
  <c r="K4" i="8"/>
  <c r="E5" i="8"/>
  <c r="X4" i="8"/>
  <c r="Z4" i="8" s="1"/>
  <c r="S4" i="8"/>
  <c r="E4" i="8"/>
  <c r="X3" i="8"/>
  <c r="Z3" i="8" s="1"/>
  <c r="S3" i="8"/>
  <c r="Q22" i="8" s="1"/>
  <c r="R22" i="8" s="1"/>
  <c r="Q26" i="8" s="1"/>
  <c r="K3" i="8"/>
  <c r="I22" i="8" s="1"/>
  <c r="E3" i="8"/>
  <c r="D7" i="5"/>
  <c r="F7" i="5"/>
  <c r="D12" i="5" s="1"/>
  <c r="M6" i="5"/>
  <c r="T7" i="5" s="1"/>
  <c r="D6" i="5"/>
  <c r="F6" i="5" s="1"/>
  <c r="D5" i="5"/>
  <c r="F5" i="5" s="1"/>
  <c r="D4" i="5"/>
  <c r="F4" i="5" s="1"/>
  <c r="D3" i="5"/>
  <c r="F3" i="5" s="1"/>
  <c r="M3" i="5"/>
  <c r="F30" i="5"/>
  <c r="D19" i="5"/>
  <c r="F19" i="5" s="1"/>
  <c r="D18" i="5"/>
  <c r="F18" i="5" s="1"/>
  <c r="M7" i="5"/>
  <c r="T8" i="5" s="1"/>
  <c r="M5" i="5"/>
  <c r="T6" i="5" s="1"/>
  <c r="M4" i="5"/>
  <c r="T5" i="5" s="1"/>
  <c r="F29" i="5"/>
  <c r="D20" i="5"/>
  <c r="F20" i="5" s="1"/>
  <c r="D25" i="5" s="1"/>
  <c r="I8" i="14"/>
  <c r="B3" i="2"/>
  <c r="D3" i="2" s="1"/>
  <c r="D4" i="2" s="1"/>
  <c r="C24" i="8" l="1"/>
  <c r="D24" i="8" s="1"/>
  <c r="G42" i="8"/>
  <c r="G44" i="8" s="1"/>
  <c r="G45" i="8" s="1"/>
  <c r="Q22" i="10"/>
  <c r="R22" i="10" s="1"/>
  <c r="Q26" i="10" s="1"/>
  <c r="B5" i="12"/>
  <c r="G42" i="13"/>
  <c r="F8" i="12"/>
  <c r="F12" i="12" s="1"/>
  <c r="O10" i="12" s="1"/>
  <c r="D14" i="15"/>
  <c r="C34" i="15"/>
  <c r="D34" i="15" s="1"/>
  <c r="D24" i="5"/>
  <c r="E24" i="5" s="1"/>
  <c r="I24" i="5" s="1"/>
  <c r="E12" i="5"/>
  <c r="G12" i="5" s="1"/>
  <c r="X15" i="10"/>
  <c r="Y15" i="10" s="1"/>
  <c r="W20" i="10" s="1"/>
  <c r="X20" i="10" s="1"/>
  <c r="E43" i="10" s="1"/>
  <c r="I23" i="13"/>
  <c r="J23" i="13" s="1"/>
  <c r="C22" i="8"/>
  <c r="D22" i="8" s="1"/>
  <c r="C26" i="8" s="1"/>
  <c r="E42" i="8" s="1"/>
  <c r="F42" i="10"/>
  <c r="F44" i="10" s="1"/>
  <c r="F45" i="10" s="1"/>
  <c r="C23" i="8"/>
  <c r="D23" i="8" s="1"/>
  <c r="N25" i="15"/>
  <c r="D36" i="15"/>
  <c r="E41" i="10"/>
  <c r="L16" i="12"/>
  <c r="R22" i="13"/>
  <c r="Q26" i="13" s="1"/>
  <c r="C8" i="14"/>
  <c r="E25" i="5"/>
  <c r="D11" i="5"/>
  <c r="E11" i="5" s="1"/>
  <c r="C27" i="8"/>
  <c r="N10" i="12"/>
  <c r="R11" i="5"/>
  <c r="H29" i="5" s="1"/>
  <c r="I27" i="13"/>
  <c r="C23" i="13"/>
  <c r="D23" i="13" s="1"/>
  <c r="C27" i="13" s="1"/>
  <c r="C13" i="15"/>
  <c r="D13" i="15" s="1"/>
  <c r="N23" i="15"/>
  <c r="F42" i="8"/>
  <c r="F44" i="8" s="1"/>
  <c r="F45" i="8" s="1"/>
  <c r="I24" i="10"/>
  <c r="J24" i="10" s="1"/>
  <c r="I27" i="10" s="1"/>
  <c r="C22" i="13"/>
  <c r="D22" i="13" s="1"/>
  <c r="C26" i="13" s="1"/>
  <c r="I22" i="13"/>
  <c r="J22" i="13" s="1"/>
  <c r="I26" i="13" s="1"/>
  <c r="Q23" i="13"/>
  <c r="R23" i="13" s="1"/>
  <c r="Q27" i="13" s="1"/>
  <c r="E41" i="13"/>
  <c r="M24" i="15"/>
  <c r="N24" i="15" s="1"/>
  <c r="N22" i="15"/>
  <c r="O27" i="15" s="1"/>
  <c r="X25" i="15"/>
  <c r="W24" i="15"/>
  <c r="X24" i="15" s="1"/>
  <c r="X23" i="15"/>
  <c r="X22" i="15"/>
  <c r="Y27" i="15" s="1"/>
  <c r="B7" i="18"/>
  <c r="J22" i="8"/>
  <c r="I26" i="8" s="1"/>
  <c r="C27" i="10"/>
  <c r="F44" i="13"/>
  <c r="F45" i="13" s="1"/>
  <c r="E16" i="15"/>
  <c r="E38" i="15"/>
  <c r="X15" i="8"/>
  <c r="Y15" i="8" s="1"/>
  <c r="W20" i="8" s="1"/>
  <c r="X20" i="8" s="1"/>
  <c r="E43" i="8" s="1"/>
  <c r="J22" i="10"/>
  <c r="I26" i="10" s="1"/>
  <c r="X15" i="13"/>
  <c r="Y15" i="13" s="1"/>
  <c r="W20" i="13" s="1"/>
  <c r="X20" i="13" s="1"/>
  <c r="E43" i="13" s="1"/>
  <c r="G44" i="13"/>
  <c r="G45" i="13" s="1"/>
  <c r="H5" i="2"/>
  <c r="I25" i="5"/>
  <c r="G25" i="5"/>
  <c r="G11" i="5"/>
  <c r="I11" i="5"/>
  <c r="G44" i="10"/>
  <c r="G45" i="10" s="1"/>
  <c r="H6" i="2"/>
  <c r="D5" i="2"/>
  <c r="G24" i="5" l="1"/>
  <c r="I12" i="5"/>
  <c r="E29" i="5" s="1"/>
  <c r="G29" i="5" s="1"/>
  <c r="I29" i="5" s="1"/>
  <c r="J29" i="5" s="1"/>
  <c r="E42" i="13"/>
  <c r="O5" i="12"/>
  <c r="AA31" i="15"/>
  <c r="E42" i="10"/>
  <c r="E44" i="10" s="1"/>
  <c r="E45" i="10" s="1"/>
  <c r="E30" i="5"/>
  <c r="G30" i="5" s="1"/>
  <c r="I30" i="5" s="1"/>
  <c r="E44" i="13"/>
  <c r="E45" i="13" s="1"/>
  <c r="AF16" i="15"/>
  <c r="H7" i="2"/>
  <c r="E44" i="8"/>
  <c r="E45" i="8" s="1"/>
  <c r="C45" i="15"/>
  <c r="E40" i="15"/>
  <c r="J12" i="5"/>
  <c r="D6" i="2"/>
  <c r="K30" i="5" l="1"/>
  <c r="K12" i="5" s="1"/>
  <c r="D45" i="15"/>
  <c r="J30" i="5"/>
  <c r="H8" i="2"/>
  <c r="J34" i="15"/>
  <c r="J33" i="15"/>
  <c r="D7" i="2"/>
  <c r="D8" i="2" s="1"/>
  <c r="H9" i="2" l="1"/>
  <c r="B10" i="2"/>
  <c r="B9" i="2"/>
  <c r="H10" i="2" l="1"/>
  <c r="D9" i="2"/>
  <c r="H11" i="2" l="1"/>
  <c r="D10" i="2"/>
  <c r="H12" i="2" l="1"/>
  <c r="C8" i="2" l="1"/>
  <c r="C4" i="2"/>
  <c r="G4" i="2"/>
  <c r="C7" i="2"/>
  <c r="G3" i="2"/>
  <c r="I12" i="2"/>
  <c r="C6" i="2"/>
  <c r="I3" i="2"/>
  <c r="C5" i="2"/>
  <c r="E3" i="2"/>
  <c r="G12" i="2"/>
  <c r="G8" i="2"/>
  <c r="J8" i="2" s="1"/>
  <c r="G6" i="2"/>
  <c r="G11" i="2"/>
  <c r="G10" i="2"/>
  <c r="C3" i="2"/>
  <c r="G7" i="2"/>
  <c r="G9" i="2"/>
  <c r="J9" i="2" s="1"/>
  <c r="G5" i="2"/>
  <c r="E4" i="2"/>
  <c r="I4" i="2"/>
  <c r="I6" i="2"/>
  <c r="I5" i="2"/>
  <c r="K6" i="2" s="1"/>
  <c r="E5" i="2"/>
  <c r="I7" i="2"/>
  <c r="E6" i="2"/>
  <c r="E7" i="2"/>
  <c r="E8" i="2"/>
  <c r="I8" i="2"/>
  <c r="I9" i="2"/>
  <c r="C10" i="2"/>
  <c r="C9" i="2"/>
  <c r="E9" i="2"/>
  <c r="I10" i="2"/>
  <c r="I11" i="2"/>
  <c r="E10" i="2"/>
  <c r="J7" i="2" l="1"/>
  <c r="K7" i="2"/>
  <c r="J10" i="2"/>
  <c r="K9" i="2"/>
</calcChain>
</file>

<file path=xl/sharedStrings.xml><?xml version="1.0" encoding="utf-8"?>
<sst xmlns="http://schemas.openxmlformats.org/spreadsheetml/2006/main" count="625" uniqueCount="152">
  <si>
    <t>Previsto</t>
  </si>
  <si>
    <t>(%)</t>
  </si>
  <si>
    <t>(R$)</t>
  </si>
  <si>
    <t>Acumulado</t>
  </si>
  <si>
    <t>1ª</t>
  </si>
  <si>
    <t>2ª</t>
  </si>
  <si>
    <t>3ª</t>
  </si>
  <si>
    <t>4ª</t>
  </si>
  <si>
    <t>5ª</t>
  </si>
  <si>
    <t>6ª</t>
  </si>
  <si>
    <t>7ª</t>
  </si>
  <si>
    <t>8ª</t>
  </si>
  <si>
    <t>9ª</t>
  </si>
  <si>
    <t>10ª</t>
  </si>
  <si>
    <t>Medição real</t>
  </si>
  <si>
    <t>Prev. Acum.</t>
  </si>
  <si>
    <t>UN</t>
  </si>
  <si>
    <t>PREÇO
UNIT.</t>
  </si>
  <si>
    <t>QTDE</t>
  </si>
  <si>
    <t>DESCRIÇÃO DOS SERVIÇOS</t>
  </si>
  <si>
    <t>ITEM</t>
  </si>
  <si>
    <t>A</t>
  </si>
  <si>
    <t>02.00.000</t>
  </si>
  <si>
    <t>Serviços preliminares</t>
  </si>
  <si>
    <t>m²</t>
  </si>
  <si>
    <t>un</t>
  </si>
  <si>
    <t>m</t>
  </si>
  <si>
    <t>Bloco C</t>
  </si>
  <si>
    <t>SUBTOTAL</t>
  </si>
  <si>
    <t>5.0</t>
  </si>
  <si>
    <t>10.0</t>
  </si>
  <si>
    <t>C.UNIT</t>
  </si>
  <si>
    <t>QUANT.</t>
  </si>
  <si>
    <t>DIAM</t>
  </si>
  <si>
    <t>C. TOTAL</t>
  </si>
  <si>
    <t>C.TOTAL</t>
  </si>
  <si>
    <t>PESO TOTAL</t>
  </si>
  <si>
    <t>3ª med</t>
  </si>
  <si>
    <t>BLOCOS</t>
  </si>
  <si>
    <t>8.0</t>
  </si>
  <si>
    <t>PILARES</t>
  </si>
  <si>
    <t>Q. TOTAL</t>
  </si>
  <si>
    <t>10 UNID</t>
  </si>
  <si>
    <t>AÇO</t>
  </si>
  <si>
    <t>CA60</t>
  </si>
  <si>
    <t>CA50</t>
  </si>
  <si>
    <t>6.3</t>
  </si>
  <si>
    <t>18UN</t>
  </si>
  <si>
    <t>02 EST.</t>
  </si>
  <si>
    <t>03 EST.</t>
  </si>
  <si>
    <t>TOTAL</t>
  </si>
  <si>
    <t>VIGAS</t>
  </si>
  <si>
    <t>SUB. TOTAL</t>
  </si>
  <si>
    <t>BL+VIG</t>
  </si>
  <si>
    <t>Nº</t>
  </si>
  <si>
    <t>12.5</t>
  </si>
  <si>
    <t>VB104</t>
  </si>
  <si>
    <t>VB101</t>
  </si>
  <si>
    <t>VB113</t>
  </si>
  <si>
    <t>FORMA</t>
  </si>
  <si>
    <t>CONCRETO</t>
  </si>
  <si>
    <t>NÃO EXECUTADOS</t>
  </si>
  <si>
    <t>BLOCOS - PILARETES</t>
  </si>
  <si>
    <t>RESUMO AÇO DO PROJETO</t>
  </si>
  <si>
    <t>NÃO EXECUTADO</t>
  </si>
  <si>
    <t xml:space="preserve">ALTERAÇÃO </t>
  </si>
  <si>
    <t>PERCENTUAL</t>
  </si>
  <si>
    <t>VBE101</t>
  </si>
  <si>
    <t>VBE107</t>
  </si>
  <si>
    <t>EXECUTADO</t>
  </si>
  <si>
    <t>RESUMO METALICA</t>
  </si>
  <si>
    <t>Planilha Calculo Kg medir Estrutura Metalica MED 5</t>
  </si>
  <si>
    <t xml:space="preserve">Bloco C </t>
  </si>
  <si>
    <t>Kg</t>
  </si>
  <si>
    <t>Qtd</t>
  </si>
  <si>
    <t>Qtd total (Kg)</t>
  </si>
  <si>
    <t>250x32,7</t>
  </si>
  <si>
    <t>Pilar</t>
  </si>
  <si>
    <t>200x15</t>
  </si>
  <si>
    <t>360x39</t>
  </si>
  <si>
    <t>Comp.</t>
  </si>
  <si>
    <t>Eixo 1 ao 8</t>
  </si>
  <si>
    <t>Eixo A e B</t>
  </si>
  <si>
    <t>Viga bordas horizontal</t>
  </si>
  <si>
    <t>Viga bordas vertical</t>
  </si>
  <si>
    <t>CORRIGIDO</t>
  </si>
  <si>
    <t>(728,96*0,2447)</t>
  </si>
  <si>
    <t>74039/001</t>
  </si>
  <si>
    <t>PROPORÇÃO</t>
  </si>
  <si>
    <t>Tapume</t>
  </si>
  <si>
    <t>Qtde</t>
  </si>
  <si>
    <t>Preço total</t>
  </si>
  <si>
    <t>Descrição</t>
  </si>
  <si>
    <t>CERCA COM MOUROES DE MADEIRA ROLICA, DIAMETRO 11CM, ESPACAMENTO DE 2M, M  ALTURA LIVRE DE 1M, CRAVADOS 0,5M, COM 5 FIOS DE ARAME FARPADO Nº 14 CLASSE 250C - SINAPI/ABRIL 2019</t>
  </si>
  <si>
    <t>M3</t>
  </si>
  <si>
    <t>KG</t>
  </si>
  <si>
    <t>M2</t>
  </si>
  <si>
    <t>PILARES EXECUTADOS</t>
  </si>
  <si>
    <t>VIGAS EXECUTADAS</t>
  </si>
  <si>
    <t>RELAÇÃO DE AÇO BLOCOS</t>
  </si>
  <si>
    <t xml:space="preserve">VIGAS </t>
  </si>
  <si>
    <t xml:space="preserve">TOTAL </t>
  </si>
  <si>
    <t>TOTAL EXECUTADO</t>
  </si>
  <si>
    <t>RESUMO AÇO DO PROJETO BLOCO A</t>
  </si>
  <si>
    <t>RESUMO AÇO DO PROJETO BLOCO B</t>
  </si>
  <si>
    <t>B</t>
  </si>
  <si>
    <t>C</t>
  </si>
  <si>
    <t>G</t>
  </si>
  <si>
    <t>I</t>
  </si>
  <si>
    <t>L</t>
  </si>
  <si>
    <t>R</t>
  </si>
  <si>
    <t>BDI</t>
  </si>
  <si>
    <t>BENEFÍCIOS E DESPESAS INDIRETAS - OBRA CIVIL</t>
  </si>
  <si>
    <t>COMPONENTE</t>
  </si>
  <si>
    <t>DESPESAS INDIRETAS</t>
  </si>
  <si>
    <t>INCIDÊNCIA</t>
  </si>
  <si>
    <t>Administração Central</t>
  </si>
  <si>
    <t>Seguros + Garantias</t>
  </si>
  <si>
    <t>Riscos</t>
  </si>
  <si>
    <t>Despesas Financeiras</t>
  </si>
  <si>
    <t>TRIBUTOS</t>
  </si>
  <si>
    <t>COFINS - Contribuição Financiamento Seguridade Social</t>
  </si>
  <si>
    <t>PIS - Programa de Integração Social</t>
  </si>
  <si>
    <t>ISS - Imposto Sobre Serviço de Qualquer Natureza</t>
  </si>
  <si>
    <t>SUBTOTAL "B"</t>
  </si>
  <si>
    <t>BONIFICAÇÃO</t>
  </si>
  <si>
    <t>Lucro</t>
  </si>
  <si>
    <t>FORMULA UTILIZADA PARA CÁLCULO DO BDI</t>
  </si>
  <si>
    <t>BDI =</t>
  </si>
  <si>
    <t>[(</t>
  </si>
  <si>
    <t>(1 + (AC + S + R + G)) X ((1 + DF) X (1 + L))</t>
  </si>
  <si>
    <t>)</t>
  </si>
  <si>
    <t>]</t>
  </si>
  <si>
    <t>X 100</t>
  </si>
  <si>
    <t>(1 - I)</t>
  </si>
  <si>
    <t>AC</t>
  </si>
  <si>
    <t>Taxa representativa das despesas de rateio da Administração Central</t>
  </si>
  <si>
    <t>S</t>
  </si>
  <si>
    <t>Taxa Representativa de Seguros</t>
  </si>
  <si>
    <t>Taxa Representativa de Riscos</t>
  </si>
  <si>
    <t>Taxa Representativa de Garantias</t>
  </si>
  <si>
    <t>DF</t>
  </si>
  <si>
    <t>Taxa Representativa de Despesas Financeiras</t>
  </si>
  <si>
    <t>Taxa Representativa de Lucro</t>
  </si>
  <si>
    <t>Taxa Representativa de Incidencia de Impostos</t>
  </si>
  <si>
    <t>Taxa Representativa da Incidênca de Impostos é aplicada sobre o preço de venda da prestação do serviço, enquanto que as demais taxas são aplicadas sobre o custo</t>
  </si>
  <si>
    <t>REFERÊNCIAS:</t>
  </si>
  <si>
    <t>Fórmula de cálculo do BDI: Relatório do Acordão n° 2.622/2013 - TCU / Plenário</t>
  </si>
  <si>
    <t>CPRB</t>
  </si>
  <si>
    <t xml:space="preserve">PARA ESTIMATIVAS DE OBRAS DE ENGENHARIA  COM DESONERAÇÃO    </t>
  </si>
  <si>
    <t xml:space="preserve">                                                                                                                                                          HORISTA (TAXA JÁ INCLUSA NOS VALORES UNITARIOS DE MÃO DE OBRA)            MENSALISTA (TAXA JÁ INCLUSA NOS VALORES UNITÁRIOS DE MÃO DE OBRA)</t>
  </si>
  <si>
    <t>COMPOSIÇÃO DE BDI  DIFERENCIADO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</si>
</sst>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theme="8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164" fontId="3" fillId="0" borderId="0" applyFont="0" applyFill="0" applyBorder="0" applyAlignment="0" applyProtection="0"/>
    <xf numFmtId="0" fontId="11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33">
    <xf numFmtId="0" fontId="0" fillId="0" borderId="0" xfId="0"/>
    <xf numFmtId="4" fontId="4" fillId="2" borderId="1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43" fontId="7" fillId="0" borderId="1" xfId="1" applyFont="1" applyBorder="1" applyAlignment="1">
      <alignment horizontal="center" vertical="center"/>
    </xf>
    <xf numFmtId="43" fontId="7" fillId="0" borderId="6" xfId="1" applyFont="1" applyBorder="1" applyAlignment="1">
      <alignment horizontal="center" vertical="center"/>
    </xf>
    <xf numFmtId="43" fontId="7" fillId="0" borderId="7" xfId="1" applyFont="1" applyBorder="1" applyAlignment="1">
      <alignment horizontal="center" vertical="center"/>
    </xf>
    <xf numFmtId="4" fontId="4" fillId="2" borderId="6" xfId="1" applyNumberFormat="1" applyFont="1" applyFill="1" applyBorder="1" applyAlignment="1">
      <alignment horizontal="center" vertical="center"/>
    </xf>
    <xf numFmtId="4" fontId="4" fillId="2" borderId="8" xfId="1" applyNumberFormat="1" applyFont="1" applyFill="1" applyBorder="1" applyAlignment="1">
      <alignment horizontal="center" vertical="center"/>
    </xf>
    <xf numFmtId="4" fontId="4" fillId="2" borderId="9" xfId="1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65" fontId="4" fillId="2" borderId="1" xfId="2" applyNumberFormat="1" applyFont="1" applyFill="1" applyBorder="1" applyAlignment="1">
      <alignment horizontal="center" vertical="center"/>
    </xf>
    <xf numFmtId="165" fontId="4" fillId="2" borderId="7" xfId="2" applyNumberFormat="1" applyFont="1" applyFill="1" applyBorder="1" applyAlignment="1">
      <alignment horizontal="center" vertical="center"/>
    </xf>
    <xf numFmtId="165" fontId="4" fillId="2" borderId="9" xfId="2" applyNumberFormat="1" applyFont="1" applyFill="1" applyBorder="1" applyAlignment="1">
      <alignment horizontal="center" vertical="center"/>
    </xf>
    <xf numFmtId="165" fontId="4" fillId="2" borderId="10" xfId="2" applyNumberFormat="1" applyFont="1" applyFill="1" applyBorder="1" applyAlignment="1">
      <alignment horizontal="center" vertical="center"/>
    </xf>
    <xf numFmtId="43" fontId="5" fillId="0" borderId="0" xfId="1" applyFont="1" applyAlignment="1">
      <alignment vertical="center"/>
    </xf>
    <xf numFmtId="10" fontId="5" fillId="0" borderId="0" xfId="2" applyNumberFormat="1" applyFont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10" fontId="4" fillId="2" borderId="7" xfId="2" applyNumberFormat="1" applyFont="1" applyFill="1" applyBorder="1" applyAlignment="1">
      <alignment horizontal="center" vertical="center"/>
    </xf>
    <xf numFmtId="10" fontId="4" fillId="2" borderId="10" xfId="2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5" fontId="0" fillId="0" borderId="0" xfId="2" applyNumberFormat="1" applyFont="1"/>
    <xf numFmtId="2" fontId="0" fillId="0" borderId="0" xfId="0" applyNumberFormat="1"/>
    <xf numFmtId="10" fontId="0" fillId="0" borderId="0" xfId="2" applyNumberFormat="1" applyFont="1"/>
    <xf numFmtId="165" fontId="5" fillId="0" borderId="0" xfId="0" applyNumberFormat="1" applyFont="1" applyAlignment="1">
      <alignment vertical="center"/>
    </xf>
    <xf numFmtId="165" fontId="5" fillId="0" borderId="0" xfId="2" applyNumberFormat="1" applyFont="1" applyAlignment="1">
      <alignment vertical="center"/>
    </xf>
    <xf numFmtId="10" fontId="5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Fill="1" applyBorder="1"/>
    <xf numFmtId="10" fontId="0" fillId="0" borderId="0" xfId="0" applyNumberFormat="1"/>
    <xf numFmtId="0" fontId="0" fillId="0" borderId="21" xfId="0" applyBorder="1"/>
    <xf numFmtId="0" fontId="0" fillId="0" borderId="19" xfId="0" applyBorder="1"/>
    <xf numFmtId="43" fontId="9" fillId="3" borderId="19" xfId="1" applyFont="1" applyFill="1" applyBorder="1" applyAlignment="1">
      <alignment vertical="center" wrapText="1"/>
    </xf>
    <xf numFmtId="0" fontId="9" fillId="3" borderId="19" xfId="0" applyFont="1" applyFill="1" applyBorder="1" applyAlignment="1">
      <alignment vertical="center"/>
    </xf>
    <xf numFmtId="43" fontId="8" fillId="3" borderId="20" xfId="1" applyFont="1" applyFill="1" applyBorder="1" applyAlignment="1">
      <alignment horizontal="left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vertical="center" wrapText="1"/>
    </xf>
    <xf numFmtId="43" fontId="12" fillId="0" borderId="23" xfId="1" applyFont="1" applyBorder="1" applyAlignment="1">
      <alignment vertical="center" wrapText="1"/>
    </xf>
    <xf numFmtId="0" fontId="12" fillId="0" borderId="23" xfId="0" applyFont="1" applyBorder="1" applyAlignment="1">
      <alignment horizontal="center" vertical="center" wrapText="1"/>
    </xf>
    <xf numFmtId="43" fontId="12" fillId="0" borderId="23" xfId="1" applyFont="1" applyBorder="1" applyAlignment="1">
      <alignment horizontal="center" vertical="center" wrapText="1"/>
    </xf>
    <xf numFmtId="43" fontId="12" fillId="0" borderId="24" xfId="1" applyFont="1" applyBorder="1" applyAlignment="1">
      <alignment horizontal="right" vertical="center" wrapText="1"/>
    </xf>
    <xf numFmtId="43" fontId="0" fillId="0" borderId="0" xfId="0" applyNumberFormat="1"/>
    <xf numFmtId="14" fontId="5" fillId="0" borderId="0" xfId="0" applyNumberFormat="1" applyFont="1" applyAlignment="1">
      <alignment vertical="center"/>
    </xf>
    <xf numFmtId="43" fontId="5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1" fillId="3" borderId="0" xfId="8" applyFill="1"/>
    <xf numFmtId="0" fontId="8" fillId="3" borderId="1" xfId="8" applyFont="1" applyFill="1" applyBorder="1" applyAlignment="1">
      <alignment horizontal="center"/>
    </xf>
    <xf numFmtId="0" fontId="1" fillId="0" borderId="0" xfId="8"/>
    <xf numFmtId="0" fontId="8" fillId="7" borderId="1" xfId="8" applyFont="1" applyFill="1" applyBorder="1" applyAlignment="1">
      <alignment horizontal="center"/>
    </xf>
    <xf numFmtId="0" fontId="1" fillId="7" borderId="1" xfId="8" applyFill="1" applyBorder="1" applyAlignment="1">
      <alignment horizontal="center"/>
    </xf>
    <xf numFmtId="0" fontId="1" fillId="3" borderId="1" xfId="8" applyFill="1" applyBorder="1" applyAlignment="1">
      <alignment horizontal="center"/>
    </xf>
    <xf numFmtId="10" fontId="1" fillId="3" borderId="1" xfId="9" applyNumberFormat="1" applyFont="1" applyFill="1" applyBorder="1" applyAlignment="1">
      <alignment horizontal="center"/>
    </xf>
    <xf numFmtId="10" fontId="8" fillId="7" borderId="1" xfId="8" applyNumberFormat="1" applyFont="1" applyFill="1" applyBorder="1" applyAlignment="1">
      <alignment horizontal="center"/>
    </xf>
    <xf numFmtId="0" fontId="1" fillId="3" borderId="1" xfId="8" applyFill="1" applyBorder="1"/>
    <xf numFmtId="0" fontId="1" fillId="7" borderId="1" xfId="8" applyFill="1" applyBorder="1"/>
    <xf numFmtId="10" fontId="8" fillId="7" borderId="1" xfId="9" applyNumberFormat="1" applyFont="1" applyFill="1" applyBorder="1" applyAlignment="1">
      <alignment horizontal="center"/>
    </xf>
    <xf numFmtId="0" fontId="15" fillId="3" borderId="28" xfId="8" applyFont="1" applyFill="1" applyBorder="1" applyAlignment="1">
      <alignment horizontal="center"/>
    </xf>
    <xf numFmtId="0" fontId="1" fillId="3" borderId="29" xfId="8" applyFill="1" applyBorder="1" applyAlignment="1">
      <alignment horizontal="center"/>
    </xf>
    <xf numFmtId="0" fontId="1" fillId="3" borderId="0" xfId="8" applyFill="1" applyAlignment="1">
      <alignment horizontal="left"/>
    </xf>
    <xf numFmtId="0" fontId="1" fillId="3" borderId="1" xfId="8" applyFill="1" applyBorder="1" applyAlignment="1">
      <alignment horizontal="left"/>
    </xf>
    <xf numFmtId="0" fontId="1" fillId="0" borderId="0" xfId="8" applyAlignment="1">
      <alignment horizontal="left"/>
    </xf>
    <xf numFmtId="0" fontId="13" fillId="6" borderId="1" xfId="8" applyFont="1" applyFill="1" applyBorder="1" applyAlignment="1">
      <alignment horizontal="center"/>
    </xf>
    <xf numFmtId="0" fontId="17" fillId="0" borderId="37" xfId="8" applyFont="1" applyBorder="1" applyAlignment="1">
      <alignment horizontal="center"/>
    </xf>
    <xf numFmtId="0" fontId="16" fillId="0" borderId="38" xfId="8" applyFont="1" applyBorder="1" applyAlignment="1">
      <alignment horizontal="center"/>
    </xf>
    <xf numFmtId="0" fontId="16" fillId="0" borderId="39" xfId="8" applyFont="1" applyBorder="1" applyAlignment="1">
      <alignment horizontal="center"/>
    </xf>
    <xf numFmtId="0" fontId="1" fillId="3" borderId="1" xfId="8" applyFill="1" applyBorder="1" applyAlignment="1">
      <alignment horizontal="left"/>
    </xf>
    <xf numFmtId="0" fontId="1" fillId="3" borderId="1" xfId="8" applyFill="1" applyBorder="1" applyAlignment="1">
      <alignment horizontal="left" wrapText="1"/>
    </xf>
    <xf numFmtId="0" fontId="8" fillId="7" borderId="30" xfId="8" applyFont="1" applyFill="1" applyBorder="1" applyAlignment="1">
      <alignment horizontal="center"/>
    </xf>
    <xf numFmtId="0" fontId="8" fillId="7" borderId="31" xfId="8" applyFont="1" applyFill="1" applyBorder="1" applyAlignment="1">
      <alignment horizontal="center"/>
    </xf>
    <xf numFmtId="0" fontId="8" fillId="7" borderId="32" xfId="8" applyFont="1" applyFill="1" applyBorder="1" applyAlignment="1">
      <alignment horizontal="center"/>
    </xf>
    <xf numFmtId="0" fontId="8" fillId="3" borderId="1" xfId="8" applyFont="1" applyFill="1" applyBorder="1" applyAlignment="1">
      <alignment horizontal="center"/>
    </xf>
    <xf numFmtId="0" fontId="1" fillId="3" borderId="33" xfId="8" applyFill="1" applyBorder="1" applyAlignment="1">
      <alignment horizontal="right" vertical="center"/>
    </xf>
    <xf numFmtId="0" fontId="1" fillId="3" borderId="35" xfId="8" applyFill="1" applyBorder="1" applyAlignment="1">
      <alignment horizontal="right" vertical="center"/>
    </xf>
    <xf numFmtId="0" fontId="14" fillId="3" borderId="28" xfId="8" applyFont="1" applyFill="1" applyBorder="1" applyAlignment="1">
      <alignment horizontal="right" vertical="center"/>
    </xf>
    <xf numFmtId="0" fontId="14" fillId="3" borderId="29" xfId="8" applyFont="1" applyFill="1" applyBorder="1" applyAlignment="1">
      <alignment horizontal="right" vertical="center"/>
    </xf>
    <xf numFmtId="0" fontId="14" fillId="3" borderId="28" xfId="8" applyFont="1" applyFill="1" applyBorder="1" applyAlignment="1">
      <alignment vertical="center"/>
    </xf>
    <xf numFmtId="0" fontId="14" fillId="3" borderId="29" xfId="8" applyFont="1" applyFill="1" applyBorder="1" applyAlignment="1">
      <alignment vertical="center"/>
    </xf>
    <xf numFmtId="0" fontId="1" fillId="3" borderId="28" xfId="8" applyFill="1" applyBorder="1" applyAlignment="1">
      <alignment horizontal="center" vertical="center"/>
    </xf>
    <xf numFmtId="0" fontId="1" fillId="3" borderId="29" xfId="8" applyFill="1" applyBorder="1" applyAlignment="1">
      <alignment horizontal="center" vertical="center"/>
    </xf>
    <xf numFmtId="0" fontId="14" fillId="3" borderId="28" xfId="8" applyFont="1" applyFill="1" applyBorder="1" applyAlignment="1">
      <alignment horizontal="left" vertical="center"/>
    </xf>
    <xf numFmtId="0" fontId="14" fillId="3" borderId="29" xfId="8" applyFont="1" applyFill="1" applyBorder="1" applyAlignment="1">
      <alignment horizontal="left" vertical="center"/>
    </xf>
    <xf numFmtId="0" fontId="1" fillId="3" borderId="34" xfId="8" applyFill="1" applyBorder="1" applyAlignment="1">
      <alignment horizontal="left" vertical="center"/>
    </xf>
    <xf numFmtId="0" fontId="1" fillId="3" borderId="36" xfId="8" applyFill="1" applyBorder="1" applyAlignment="1">
      <alignment horizontal="left" vertical="center"/>
    </xf>
    <xf numFmtId="0" fontId="1" fillId="3" borderId="28" xfId="8" applyFill="1" applyBorder="1" applyAlignment="1">
      <alignment horizontal="center"/>
    </xf>
    <xf numFmtId="0" fontId="1" fillId="3" borderId="30" xfId="8" applyFill="1" applyBorder="1" applyAlignment="1">
      <alignment horizontal="left"/>
    </xf>
    <xf numFmtId="0" fontId="1" fillId="3" borderId="31" xfId="8" applyFill="1" applyBorder="1" applyAlignment="1">
      <alignment horizontal="left"/>
    </xf>
    <xf numFmtId="0" fontId="1" fillId="3" borderId="32" xfId="8" applyFill="1" applyBorder="1" applyAlignment="1">
      <alignment horizontal="left"/>
    </xf>
    <xf numFmtId="0" fontId="0" fillId="3" borderId="30" xfId="8" applyFont="1" applyFill="1" applyBorder="1" applyAlignment="1">
      <alignment horizontal="left"/>
    </xf>
    <xf numFmtId="0" fontId="1" fillId="3" borderId="0" xfId="8" applyFill="1" applyAlignment="1">
      <alignment horizontal="center"/>
    </xf>
    <xf numFmtId="0" fontId="8" fillId="3" borderId="30" xfId="8" applyFont="1" applyFill="1" applyBorder="1" applyAlignment="1">
      <alignment horizontal="center"/>
    </xf>
    <xf numFmtId="0" fontId="8" fillId="3" borderId="31" xfId="8" applyFont="1" applyFill="1" applyBorder="1" applyAlignment="1">
      <alignment horizontal="center"/>
    </xf>
    <xf numFmtId="0" fontId="8" fillId="3" borderId="32" xfId="8" applyFont="1" applyFill="1" applyBorder="1" applyAlignment="1">
      <alignment horizontal="center"/>
    </xf>
    <xf numFmtId="0" fontId="1" fillId="3" borderId="30" xfId="8" applyFill="1" applyBorder="1" applyAlignment="1">
      <alignment horizontal="center"/>
    </xf>
    <xf numFmtId="0" fontId="1" fillId="3" borderId="31" xfId="8" applyFill="1" applyBorder="1" applyAlignment="1">
      <alignment horizontal="center"/>
    </xf>
    <xf numFmtId="0" fontId="1" fillId="3" borderId="32" xfId="8" applyFill="1" applyBorder="1" applyAlignment="1">
      <alignment horizontal="center"/>
    </xf>
    <xf numFmtId="0" fontId="13" fillId="6" borderId="1" xfId="8" applyFont="1" applyFill="1" applyBorder="1" applyAlignment="1">
      <alignment horizontal="center"/>
    </xf>
    <xf numFmtId="0" fontId="8" fillId="3" borderId="28" xfId="8" applyFont="1" applyFill="1" applyBorder="1" applyAlignment="1">
      <alignment horizontal="center"/>
    </xf>
    <xf numFmtId="0" fontId="1" fillId="3" borderId="30" xfId="8" applyFill="1" applyBorder="1" applyAlignment="1">
      <alignment horizontal="center" vertical="center"/>
    </xf>
    <xf numFmtId="0" fontId="1" fillId="3" borderId="31" xfId="8" applyFill="1" applyBorder="1" applyAlignment="1">
      <alignment horizontal="center" vertical="center"/>
    </xf>
    <xf numFmtId="0" fontId="1" fillId="3" borderId="32" xfId="8" applyFill="1" applyBorder="1" applyAlignment="1">
      <alignment horizontal="center" vertical="center"/>
    </xf>
    <xf numFmtId="0" fontId="1" fillId="7" borderId="30" xfId="8" applyFill="1" applyBorder="1" applyAlignment="1">
      <alignment horizontal="center"/>
    </xf>
    <xf numFmtId="0" fontId="1" fillId="7" borderId="31" xfId="8" applyFill="1" applyBorder="1" applyAlignment="1">
      <alignment horizontal="center"/>
    </xf>
    <xf numFmtId="0" fontId="1" fillId="7" borderId="32" xfId="8" applyFill="1" applyBorder="1" applyAlignment="1">
      <alignment horizontal="center"/>
    </xf>
    <xf numFmtId="0" fontId="13" fillId="6" borderId="30" xfId="8" applyFont="1" applyFill="1" applyBorder="1" applyAlignment="1">
      <alignment horizontal="center"/>
    </xf>
    <xf numFmtId="0" fontId="13" fillId="6" borderId="31" xfId="8" applyFont="1" applyFill="1" applyBorder="1" applyAlignment="1">
      <alignment horizontal="center"/>
    </xf>
    <xf numFmtId="0" fontId="13" fillId="6" borderId="32" xfId="8" applyFont="1" applyFill="1" applyBorder="1" applyAlignment="1">
      <alignment horizontal="center"/>
    </xf>
    <xf numFmtId="0" fontId="0" fillId="3" borderId="30" xfId="8" applyFont="1" applyFill="1" applyBorder="1" applyAlignment="1">
      <alignment horizontal="center" vertical="top" wrapText="1"/>
    </xf>
    <xf numFmtId="0" fontId="0" fillId="3" borderId="31" xfId="8" applyFont="1" applyFill="1" applyBorder="1" applyAlignment="1">
      <alignment horizontal="center" vertical="top" wrapText="1"/>
    </xf>
    <xf numFmtId="0" fontId="0" fillId="3" borderId="32" xfId="8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43" fontId="8" fillId="4" borderId="26" xfId="1" applyFont="1" applyFill="1" applyBorder="1" applyAlignment="1">
      <alignment horizontal="center" vertical="center" wrapText="1"/>
    </xf>
    <xf numFmtId="43" fontId="8" fillId="4" borderId="27" xfId="1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43" fontId="9" fillId="4" borderId="25" xfId="1" applyFont="1" applyFill="1" applyBorder="1" applyAlignment="1">
      <alignment horizontal="center" vertical="center" wrapText="1"/>
    </xf>
    <xf numFmtId="43" fontId="9" fillId="4" borderId="16" xfId="1" applyFont="1" applyFill="1" applyBorder="1" applyAlignment="1">
      <alignment horizontal="center" vertical="center" wrapText="1"/>
    </xf>
    <xf numFmtId="0" fontId="9" fillId="4" borderId="25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43" fontId="7" fillId="0" borderId="2" xfId="1" applyFont="1" applyBorder="1" applyAlignment="1">
      <alignment horizontal="center" vertical="center"/>
    </xf>
    <xf numFmtId="43" fontId="7" fillId="0" borderId="3" xfId="1" applyFont="1" applyBorder="1" applyAlignment="1">
      <alignment horizontal="center" vertical="center"/>
    </xf>
    <xf numFmtId="43" fontId="7" fillId="0" borderId="4" xfId="1" applyFont="1" applyBorder="1" applyAlignment="1">
      <alignment horizontal="center" vertical="center"/>
    </xf>
    <xf numFmtId="43" fontId="7" fillId="0" borderId="5" xfId="1" applyFont="1" applyBorder="1" applyAlignment="1">
      <alignment horizontal="center" vertical="center"/>
    </xf>
    <xf numFmtId="0" fontId="0" fillId="5" borderId="0" xfId="0" applyFill="1" applyAlignment="1">
      <alignment horizontal="center"/>
    </xf>
    <xf numFmtId="0" fontId="0" fillId="0" borderId="0" xfId="0" applyBorder="1" applyAlignment="1">
      <alignment horizontal="center"/>
    </xf>
    <xf numFmtId="10" fontId="1" fillId="3" borderId="1" xfId="9" applyNumberFormat="1" applyFont="1" applyFill="1" applyBorder="1" applyAlignment="1">
      <alignment horizontal="center" vertical="center"/>
    </xf>
    <xf numFmtId="10" fontId="0" fillId="3" borderId="1" xfId="9" applyNumberFormat="1" applyFont="1" applyFill="1" applyBorder="1" applyAlignment="1">
      <alignment horizontal="center" vertical="center"/>
    </xf>
  </cellXfs>
  <cellStyles count="10">
    <cellStyle name="Normal" xfId="0" builtinId="0"/>
    <cellStyle name="Normal 12 2 2 2" xfId="8"/>
    <cellStyle name="Normal 2" xfId="3"/>
    <cellStyle name="Normal 2 2" xfId="5"/>
    <cellStyle name="Normal 5" xfId="6"/>
    <cellStyle name="Porcentagem" xfId="2" builtinId="5"/>
    <cellStyle name="Porcentagem 4 2" xfId="9"/>
    <cellStyle name="Separador de milhares 2" xfId="4"/>
    <cellStyle name="Vírgula" xfId="1" builtinId="3"/>
    <cellStyle name="Vírgula 2" xfId="7"/>
  </cellStyles>
  <dxfs count="0"/>
  <tableStyles count="0" defaultTableStyle="TableStyleMedium2" defaultPivotStyle="PivotStyleLight16"/>
  <colors>
    <mruColors>
      <color rgb="FF009999"/>
      <color rgb="FFDCE6F1"/>
      <color rgb="FF95B3D7"/>
      <color rgb="FF93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showGridLines="0" tabSelected="1" view="pageBreakPreview" zoomScaleNormal="100" zoomScaleSheetLayoutView="100" workbookViewId="0">
      <selection activeCell="H23" sqref="H23"/>
    </sheetView>
  </sheetViews>
  <sheetFormatPr defaultColWidth="8" defaultRowHeight="14.25" x14ac:dyDescent="0.45"/>
  <cols>
    <col min="1" max="1" width="3.1328125" style="52" customWidth="1"/>
    <col min="2" max="2" width="8" style="52"/>
    <col min="3" max="3" width="4.3984375" style="52" customWidth="1"/>
    <col min="4" max="4" width="37.86328125" style="52" customWidth="1"/>
    <col min="5" max="5" width="2.3984375" style="52" customWidth="1"/>
    <col min="6" max="6" width="4.1328125" style="52" customWidth="1"/>
    <col min="7" max="7" width="4" style="52" customWidth="1"/>
    <col min="8" max="8" width="11.3984375" style="52" customWidth="1"/>
    <col min="9" max="9" width="3.1328125" style="52" customWidth="1"/>
    <col min="10" max="16384" width="8" style="52"/>
  </cols>
  <sheetData>
    <row r="1" spans="1:9" ht="18.399999999999999" thickBot="1" x14ac:dyDescent="0.6">
      <c r="A1" s="67" t="s">
        <v>151</v>
      </c>
      <c r="B1" s="68"/>
      <c r="C1" s="68"/>
      <c r="D1" s="68"/>
      <c r="E1" s="68"/>
      <c r="F1" s="68"/>
      <c r="G1" s="68"/>
      <c r="H1" s="68"/>
      <c r="I1" s="69"/>
    </row>
    <row r="3" spans="1:9" x14ac:dyDescent="0.45">
      <c r="A3" s="50"/>
      <c r="B3" s="66" t="s">
        <v>111</v>
      </c>
      <c r="C3" s="100" t="s">
        <v>112</v>
      </c>
      <c r="D3" s="100"/>
      <c r="E3" s="100"/>
      <c r="F3" s="100"/>
      <c r="G3" s="100"/>
      <c r="H3" s="100"/>
      <c r="I3" s="50"/>
    </row>
    <row r="4" spans="1:9" x14ac:dyDescent="0.45">
      <c r="A4" s="50"/>
      <c r="B4" s="108" t="s">
        <v>149</v>
      </c>
      <c r="C4" s="109"/>
      <c r="D4" s="109"/>
      <c r="E4" s="109"/>
      <c r="F4" s="109"/>
      <c r="G4" s="109"/>
      <c r="H4" s="110"/>
      <c r="I4" s="50"/>
    </row>
    <row r="5" spans="1:9" ht="48.75" customHeight="1" x14ac:dyDescent="0.45">
      <c r="A5" s="50"/>
      <c r="B5" s="111" t="s">
        <v>150</v>
      </c>
      <c r="C5" s="112"/>
      <c r="D5" s="112"/>
      <c r="E5" s="112"/>
      <c r="F5" s="112"/>
      <c r="G5" s="112"/>
      <c r="H5" s="113"/>
      <c r="I5" s="50"/>
    </row>
    <row r="6" spans="1:9" ht="8.25" customHeight="1" x14ac:dyDescent="0.45">
      <c r="A6" s="50"/>
      <c r="B6" s="101"/>
      <c r="C6" s="101"/>
      <c r="D6" s="101"/>
      <c r="E6" s="101"/>
      <c r="F6" s="101"/>
      <c r="G6" s="101"/>
      <c r="H6" s="101"/>
      <c r="I6" s="50"/>
    </row>
    <row r="7" spans="1:9" ht="20.100000000000001" customHeight="1" x14ac:dyDescent="0.25">
      <c r="A7" s="50"/>
      <c r="B7" s="102" t="s">
        <v>113</v>
      </c>
      <c r="C7" s="103"/>
      <c r="D7" s="103"/>
      <c r="E7" s="103"/>
      <c r="F7" s="103"/>
      <c r="G7" s="103"/>
      <c r="H7" s="104"/>
      <c r="I7" s="50"/>
    </row>
    <row r="8" spans="1:9" ht="18.600000000000001" customHeight="1" x14ac:dyDescent="0.45">
      <c r="A8" s="50"/>
      <c r="B8" s="53" t="s">
        <v>21</v>
      </c>
      <c r="C8" s="54"/>
      <c r="D8" s="72" t="s">
        <v>114</v>
      </c>
      <c r="E8" s="73"/>
      <c r="F8" s="73"/>
      <c r="G8" s="74"/>
      <c r="H8" s="53" t="s">
        <v>115</v>
      </c>
      <c r="I8" s="50"/>
    </row>
    <row r="9" spans="1:9" x14ac:dyDescent="0.45">
      <c r="A9" s="50"/>
      <c r="B9" s="55"/>
      <c r="C9" s="51">
        <v>1</v>
      </c>
      <c r="D9" s="89" t="s">
        <v>116</v>
      </c>
      <c r="E9" s="90"/>
      <c r="F9" s="90"/>
      <c r="G9" s="91"/>
      <c r="H9" s="131"/>
      <c r="I9" s="50"/>
    </row>
    <row r="10" spans="1:9" x14ac:dyDescent="0.45">
      <c r="A10" s="50"/>
      <c r="B10" s="55"/>
      <c r="C10" s="51">
        <v>2</v>
      </c>
      <c r="D10" s="89" t="s">
        <v>117</v>
      </c>
      <c r="E10" s="90"/>
      <c r="F10" s="90"/>
      <c r="G10" s="91"/>
      <c r="H10" s="131"/>
      <c r="I10" s="50"/>
    </row>
    <row r="11" spans="1:9" x14ac:dyDescent="0.45">
      <c r="A11" s="50"/>
      <c r="B11" s="55"/>
      <c r="C11" s="51">
        <v>3</v>
      </c>
      <c r="D11" s="89" t="s">
        <v>118</v>
      </c>
      <c r="E11" s="90"/>
      <c r="F11" s="90"/>
      <c r="G11" s="91"/>
      <c r="H11" s="131"/>
      <c r="I11" s="50"/>
    </row>
    <row r="12" spans="1:9" x14ac:dyDescent="0.45">
      <c r="A12" s="50"/>
      <c r="B12" s="55"/>
      <c r="C12" s="51">
        <v>4</v>
      </c>
      <c r="D12" s="89" t="s">
        <v>119</v>
      </c>
      <c r="E12" s="90"/>
      <c r="F12" s="90"/>
      <c r="G12" s="91"/>
      <c r="H12" s="132"/>
      <c r="I12" s="50"/>
    </row>
    <row r="13" spans="1:9" ht="15" x14ac:dyDescent="0.25">
      <c r="A13" s="50"/>
      <c r="B13" s="105"/>
      <c r="C13" s="106"/>
      <c r="D13" s="106"/>
      <c r="E13" s="106"/>
      <c r="F13" s="106"/>
      <c r="G13" s="107"/>
      <c r="H13" s="57"/>
      <c r="I13" s="50"/>
    </row>
    <row r="14" spans="1:9" ht="3" customHeight="1" x14ac:dyDescent="0.25">
      <c r="A14" s="50"/>
      <c r="B14" s="93"/>
      <c r="C14" s="93"/>
      <c r="D14" s="93"/>
      <c r="E14" s="93"/>
      <c r="F14" s="93"/>
      <c r="G14" s="93"/>
      <c r="H14" s="93"/>
      <c r="I14" s="50"/>
    </row>
    <row r="15" spans="1:9" x14ac:dyDescent="0.45">
      <c r="A15" s="50"/>
      <c r="B15" s="53" t="s">
        <v>105</v>
      </c>
      <c r="C15" s="54"/>
      <c r="D15" s="72" t="s">
        <v>120</v>
      </c>
      <c r="E15" s="73"/>
      <c r="F15" s="73"/>
      <c r="G15" s="74"/>
      <c r="H15" s="53" t="s">
        <v>115</v>
      </c>
      <c r="I15" s="50"/>
    </row>
    <row r="16" spans="1:9" x14ac:dyDescent="0.45">
      <c r="A16" s="50"/>
      <c r="B16" s="58"/>
      <c r="C16" s="51">
        <v>1</v>
      </c>
      <c r="D16" s="89" t="s">
        <v>121</v>
      </c>
      <c r="E16" s="90"/>
      <c r="F16" s="90"/>
      <c r="G16" s="91"/>
      <c r="H16" s="56"/>
      <c r="I16" s="50"/>
    </row>
    <row r="17" spans="1:9" x14ac:dyDescent="0.45">
      <c r="A17" s="50"/>
      <c r="B17" s="58"/>
      <c r="C17" s="51">
        <v>2</v>
      </c>
      <c r="D17" s="89" t="s">
        <v>122</v>
      </c>
      <c r="E17" s="90"/>
      <c r="F17" s="90"/>
      <c r="G17" s="91"/>
      <c r="H17" s="56"/>
      <c r="I17" s="50"/>
    </row>
    <row r="18" spans="1:9" x14ac:dyDescent="0.45">
      <c r="A18" s="50"/>
      <c r="B18" s="58"/>
      <c r="C18" s="51">
        <v>3</v>
      </c>
      <c r="D18" s="89" t="s">
        <v>123</v>
      </c>
      <c r="E18" s="90"/>
      <c r="F18" s="90"/>
      <c r="G18" s="91"/>
      <c r="H18" s="56"/>
      <c r="I18" s="50"/>
    </row>
    <row r="19" spans="1:9" x14ac:dyDescent="0.45">
      <c r="A19" s="50"/>
      <c r="B19" s="58"/>
      <c r="C19" s="51">
        <v>4</v>
      </c>
      <c r="D19" s="92" t="s">
        <v>148</v>
      </c>
      <c r="E19" s="90"/>
      <c r="F19" s="90"/>
      <c r="G19" s="91"/>
      <c r="H19" s="56"/>
      <c r="I19" s="50"/>
    </row>
    <row r="20" spans="1:9" ht="15" x14ac:dyDescent="0.25">
      <c r="A20" s="50"/>
      <c r="B20" s="59"/>
      <c r="C20" s="59"/>
      <c r="D20" s="72" t="s">
        <v>124</v>
      </c>
      <c r="E20" s="73"/>
      <c r="F20" s="73"/>
      <c r="G20" s="74"/>
      <c r="H20" s="57">
        <f>SUM(H16:H19)</f>
        <v>0</v>
      </c>
      <c r="I20" s="50"/>
    </row>
    <row r="21" spans="1:9" ht="3" customHeight="1" x14ac:dyDescent="0.25">
      <c r="A21" s="50"/>
      <c r="B21" s="93"/>
      <c r="C21" s="93"/>
      <c r="D21" s="93"/>
      <c r="E21" s="93"/>
      <c r="F21" s="93"/>
      <c r="G21" s="93"/>
      <c r="H21" s="93"/>
      <c r="I21" s="50"/>
    </row>
    <row r="22" spans="1:9" x14ac:dyDescent="0.45">
      <c r="A22" s="50"/>
      <c r="B22" s="51" t="s">
        <v>106</v>
      </c>
      <c r="C22" s="55"/>
      <c r="D22" s="94" t="s">
        <v>125</v>
      </c>
      <c r="E22" s="95"/>
      <c r="F22" s="95"/>
      <c r="G22" s="96"/>
      <c r="H22" s="51" t="s">
        <v>115</v>
      </c>
      <c r="I22" s="50"/>
    </row>
    <row r="23" spans="1:9" ht="15" x14ac:dyDescent="0.25">
      <c r="A23" s="50"/>
      <c r="B23" s="58"/>
      <c r="C23" s="51">
        <v>1</v>
      </c>
      <c r="D23" s="89" t="s">
        <v>126</v>
      </c>
      <c r="E23" s="90"/>
      <c r="F23" s="90"/>
      <c r="G23" s="91"/>
      <c r="H23" s="56"/>
      <c r="I23" s="50"/>
    </row>
    <row r="24" spans="1:9" ht="15" x14ac:dyDescent="0.25">
      <c r="A24" s="50"/>
      <c r="B24" s="58"/>
      <c r="C24" s="51">
        <v>2</v>
      </c>
      <c r="D24" s="97"/>
      <c r="E24" s="98"/>
      <c r="F24" s="98"/>
      <c r="G24" s="99"/>
      <c r="H24" s="58"/>
      <c r="I24" s="50"/>
    </row>
    <row r="25" spans="1:9" ht="15" x14ac:dyDescent="0.25">
      <c r="A25" s="50"/>
      <c r="B25" s="58"/>
      <c r="C25" s="51">
        <v>3</v>
      </c>
      <c r="D25" s="97"/>
      <c r="E25" s="98"/>
      <c r="F25" s="98"/>
      <c r="G25" s="99"/>
      <c r="H25" s="58"/>
      <c r="I25" s="50"/>
    </row>
    <row r="26" spans="1:9" ht="15" x14ac:dyDescent="0.25">
      <c r="A26" s="50"/>
      <c r="B26" s="58"/>
      <c r="C26" s="51">
        <v>4</v>
      </c>
      <c r="D26" s="97"/>
      <c r="E26" s="98"/>
      <c r="F26" s="98"/>
      <c r="G26" s="99"/>
      <c r="H26" s="58"/>
      <c r="I26" s="50"/>
    </row>
    <row r="27" spans="1:9" ht="3" customHeight="1" x14ac:dyDescent="0.25">
      <c r="A27" s="50"/>
      <c r="B27" s="88"/>
      <c r="C27" s="88"/>
      <c r="D27" s="88"/>
      <c r="E27" s="88"/>
      <c r="F27" s="88"/>
      <c r="G27" s="88"/>
      <c r="H27" s="88"/>
      <c r="I27" s="50"/>
    </row>
    <row r="28" spans="1:9" ht="15" x14ac:dyDescent="0.25">
      <c r="A28" s="50"/>
      <c r="B28" s="72" t="s">
        <v>111</v>
      </c>
      <c r="C28" s="73"/>
      <c r="D28" s="73"/>
      <c r="E28" s="73"/>
      <c r="F28" s="73"/>
      <c r="G28" s="74"/>
      <c r="H28" s="60">
        <f>ROUND((((1+(H9+H10+H11))*((1+H12)*(1+H23))/(1-H20))-1),4)</f>
        <v>0</v>
      </c>
      <c r="I28" s="50"/>
    </row>
    <row r="29" spans="1:9" ht="3" customHeight="1" x14ac:dyDescent="0.25">
      <c r="A29" s="50"/>
      <c r="B29" s="50"/>
      <c r="C29" s="50"/>
      <c r="D29" s="50"/>
      <c r="E29" s="50"/>
      <c r="F29" s="50"/>
      <c r="G29" s="50"/>
      <c r="H29" s="50"/>
      <c r="I29" s="50"/>
    </row>
    <row r="30" spans="1:9" ht="15.75" customHeight="1" x14ac:dyDescent="0.45">
      <c r="A30" s="50"/>
      <c r="B30" s="75" t="s">
        <v>127</v>
      </c>
      <c r="C30" s="75"/>
      <c r="D30" s="75"/>
      <c r="E30" s="75"/>
      <c r="F30" s="75"/>
      <c r="G30" s="75"/>
      <c r="H30" s="75"/>
      <c r="I30" s="50"/>
    </row>
    <row r="31" spans="1:9" ht="21" customHeight="1" x14ac:dyDescent="0.45">
      <c r="A31" s="50"/>
      <c r="B31" s="76" t="s">
        <v>128</v>
      </c>
      <c r="C31" s="78" t="s">
        <v>129</v>
      </c>
      <c r="D31" s="61" t="s">
        <v>130</v>
      </c>
      <c r="E31" s="80" t="s">
        <v>131</v>
      </c>
      <c r="F31" s="82">
        <v>-1</v>
      </c>
      <c r="G31" s="84" t="s">
        <v>132</v>
      </c>
      <c r="H31" s="86" t="s">
        <v>133</v>
      </c>
      <c r="I31" s="50"/>
    </row>
    <row r="32" spans="1:9" ht="21" customHeight="1" x14ac:dyDescent="0.45">
      <c r="A32" s="50"/>
      <c r="B32" s="77"/>
      <c r="C32" s="79"/>
      <c r="D32" s="62" t="s">
        <v>134</v>
      </c>
      <c r="E32" s="81"/>
      <c r="F32" s="83"/>
      <c r="G32" s="85"/>
      <c r="H32" s="87"/>
      <c r="I32" s="50"/>
    </row>
    <row r="33" spans="1:9" ht="3" customHeight="1" x14ac:dyDescent="0.25">
      <c r="A33" s="50"/>
      <c r="B33" s="50"/>
      <c r="C33" s="50"/>
      <c r="D33" s="50"/>
      <c r="E33" s="50"/>
      <c r="F33" s="50"/>
      <c r="G33" s="50"/>
      <c r="H33" s="50"/>
      <c r="I33" s="50"/>
    </row>
    <row r="34" spans="1:9" x14ac:dyDescent="0.45">
      <c r="A34" s="50"/>
      <c r="B34" s="55" t="s">
        <v>135</v>
      </c>
      <c r="C34" s="70" t="s">
        <v>136</v>
      </c>
      <c r="D34" s="70"/>
      <c r="E34" s="70"/>
      <c r="F34" s="70"/>
      <c r="G34" s="70"/>
      <c r="H34" s="70"/>
      <c r="I34" s="50"/>
    </row>
    <row r="35" spans="1:9" ht="15" x14ac:dyDescent="0.25">
      <c r="A35" s="50"/>
      <c r="B35" s="55" t="s">
        <v>137</v>
      </c>
      <c r="C35" s="70" t="s">
        <v>138</v>
      </c>
      <c r="D35" s="70"/>
      <c r="E35" s="70"/>
      <c r="F35" s="70"/>
      <c r="G35" s="70"/>
      <c r="H35" s="70"/>
      <c r="I35" s="50"/>
    </row>
    <row r="36" spans="1:9" x14ac:dyDescent="0.45">
      <c r="A36" s="50"/>
      <c r="B36" s="55" t="s">
        <v>110</v>
      </c>
      <c r="C36" s="70" t="s">
        <v>139</v>
      </c>
      <c r="D36" s="70"/>
      <c r="E36" s="70"/>
      <c r="F36" s="70"/>
      <c r="G36" s="70"/>
      <c r="H36" s="70"/>
      <c r="I36" s="50"/>
    </row>
    <row r="37" spans="1:9" x14ac:dyDescent="0.45">
      <c r="A37" s="50"/>
      <c r="B37" s="55" t="s">
        <v>107</v>
      </c>
      <c r="C37" s="70" t="s">
        <v>140</v>
      </c>
      <c r="D37" s="70"/>
      <c r="E37" s="70"/>
      <c r="F37" s="70"/>
      <c r="G37" s="70"/>
      <c r="H37" s="70"/>
      <c r="I37" s="50"/>
    </row>
    <row r="38" spans="1:9" x14ac:dyDescent="0.45">
      <c r="A38" s="50"/>
      <c r="B38" s="55" t="s">
        <v>141</v>
      </c>
      <c r="C38" s="70" t="s">
        <v>142</v>
      </c>
      <c r="D38" s="70"/>
      <c r="E38" s="70"/>
      <c r="F38" s="70"/>
      <c r="G38" s="70"/>
      <c r="H38" s="70"/>
      <c r="I38" s="50"/>
    </row>
    <row r="39" spans="1:9" x14ac:dyDescent="0.45">
      <c r="A39" s="50"/>
      <c r="B39" s="55" t="s">
        <v>109</v>
      </c>
      <c r="C39" s="70" t="s">
        <v>143</v>
      </c>
      <c r="D39" s="70"/>
      <c r="E39" s="70"/>
      <c r="F39" s="70"/>
      <c r="G39" s="70"/>
      <c r="H39" s="70"/>
      <c r="I39" s="50"/>
    </row>
    <row r="40" spans="1:9" x14ac:dyDescent="0.45">
      <c r="A40" s="50"/>
      <c r="B40" s="55" t="s">
        <v>108</v>
      </c>
      <c r="C40" s="70" t="s">
        <v>144</v>
      </c>
      <c r="D40" s="70"/>
      <c r="E40" s="70"/>
      <c r="F40" s="70"/>
      <c r="G40" s="70"/>
      <c r="H40" s="70"/>
      <c r="I40" s="50"/>
    </row>
    <row r="41" spans="1:9" s="65" customFormat="1" ht="44.25" customHeight="1" x14ac:dyDescent="0.45">
      <c r="A41" s="63"/>
      <c r="B41" s="64"/>
      <c r="C41" s="71" t="s">
        <v>145</v>
      </c>
      <c r="D41" s="71"/>
      <c r="E41" s="71"/>
      <c r="F41" s="71"/>
      <c r="G41" s="71"/>
      <c r="H41" s="71"/>
      <c r="I41" s="63"/>
    </row>
    <row r="42" spans="1:9" ht="3" customHeight="1" x14ac:dyDescent="0.45">
      <c r="A42" s="50"/>
      <c r="B42" s="50"/>
      <c r="C42" s="50"/>
      <c r="D42" s="50"/>
      <c r="E42" s="50"/>
      <c r="F42" s="50"/>
      <c r="G42" s="50"/>
      <c r="H42" s="50"/>
      <c r="I42" s="50"/>
    </row>
    <row r="43" spans="1:9" x14ac:dyDescent="0.45">
      <c r="A43" s="50"/>
      <c r="B43" s="70" t="s">
        <v>146</v>
      </c>
      <c r="C43" s="70"/>
      <c r="D43" s="70"/>
      <c r="E43" s="70"/>
      <c r="F43" s="70"/>
      <c r="G43" s="70"/>
      <c r="H43" s="70"/>
      <c r="I43" s="50"/>
    </row>
    <row r="44" spans="1:9" x14ac:dyDescent="0.45">
      <c r="A44" s="50"/>
      <c r="B44" s="70" t="s">
        <v>147</v>
      </c>
      <c r="C44" s="70"/>
      <c r="D44" s="70"/>
      <c r="E44" s="70"/>
      <c r="F44" s="70"/>
      <c r="G44" s="70"/>
      <c r="H44" s="70"/>
      <c r="I44" s="50"/>
    </row>
    <row r="45" spans="1:9" x14ac:dyDescent="0.45">
      <c r="A45" s="50"/>
      <c r="B45" s="50"/>
      <c r="C45" s="50"/>
      <c r="D45" s="50"/>
      <c r="E45" s="50"/>
      <c r="F45" s="50"/>
      <c r="G45" s="50"/>
      <c r="H45" s="50"/>
      <c r="I45" s="50"/>
    </row>
  </sheetData>
  <mergeCells count="44">
    <mergeCell ref="D15:G15"/>
    <mergeCell ref="C3:H3"/>
    <mergeCell ref="B6:H6"/>
    <mergeCell ref="B7:H7"/>
    <mergeCell ref="D8:G8"/>
    <mergeCell ref="D9:G9"/>
    <mergeCell ref="D10:G10"/>
    <mergeCell ref="D11:G11"/>
    <mergeCell ref="D12:G12"/>
    <mergeCell ref="B13:G13"/>
    <mergeCell ref="B14:H14"/>
    <mergeCell ref="B4:H4"/>
    <mergeCell ref="B5:H5"/>
    <mergeCell ref="F31:F32"/>
    <mergeCell ref="G31:G32"/>
    <mergeCell ref="H31:H32"/>
    <mergeCell ref="B27:H27"/>
    <mergeCell ref="D16:G16"/>
    <mergeCell ref="D17:G17"/>
    <mergeCell ref="D18:G18"/>
    <mergeCell ref="D19:G19"/>
    <mergeCell ref="D20:G20"/>
    <mergeCell ref="B21:H21"/>
    <mergeCell ref="D22:G22"/>
    <mergeCell ref="D23:G23"/>
    <mergeCell ref="D24:G24"/>
    <mergeCell ref="D25:G25"/>
    <mergeCell ref="D26:G26"/>
    <mergeCell ref="A1:I1"/>
    <mergeCell ref="C40:H40"/>
    <mergeCell ref="C41:H41"/>
    <mergeCell ref="B43:H43"/>
    <mergeCell ref="B44:H44"/>
    <mergeCell ref="C34:H34"/>
    <mergeCell ref="C35:H35"/>
    <mergeCell ref="C36:H36"/>
    <mergeCell ref="C37:H37"/>
    <mergeCell ref="C38:H38"/>
    <mergeCell ref="C39:H39"/>
    <mergeCell ref="B28:G28"/>
    <mergeCell ref="B30:H30"/>
    <mergeCell ref="B31:B32"/>
    <mergeCell ref="C31:C32"/>
    <mergeCell ref="E31:E32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zoomScale="55" zoomScaleNormal="55" workbookViewId="0">
      <selection activeCell="Z45" sqref="A1:Z45"/>
    </sheetView>
  </sheetViews>
  <sheetFormatPr defaultRowHeight="14.25" x14ac:dyDescent="0.45"/>
  <cols>
    <col min="13" max="14" width="9.1328125" customWidth="1"/>
    <col min="15" max="15" width="12.86328125" bestFit="1" customWidth="1"/>
    <col min="22" max="22" width="13.1328125" customWidth="1"/>
  </cols>
  <sheetData>
    <row r="1" spans="1:26" ht="15" x14ac:dyDescent="0.25">
      <c r="A1" s="114" t="s">
        <v>67</v>
      </c>
      <c r="B1" s="114"/>
      <c r="C1" s="114"/>
      <c r="D1" s="114"/>
      <c r="E1" s="114"/>
      <c r="G1" s="114" t="s">
        <v>68</v>
      </c>
      <c r="H1" s="114"/>
      <c r="I1" s="114"/>
      <c r="J1" s="114"/>
      <c r="K1" s="114"/>
      <c r="L1" s="30"/>
      <c r="O1" s="114" t="s">
        <v>67</v>
      </c>
      <c r="P1" s="114"/>
      <c r="Q1" s="114"/>
      <c r="R1" s="114"/>
      <c r="S1" s="114"/>
      <c r="V1" s="114" t="s">
        <v>62</v>
      </c>
      <c r="W1" s="114"/>
      <c r="X1" s="114"/>
      <c r="Y1" s="114"/>
      <c r="Z1" s="114"/>
    </row>
    <row r="2" spans="1:26" ht="15" x14ac:dyDescent="0.25">
      <c r="A2" s="30"/>
      <c r="B2" s="30" t="s">
        <v>33</v>
      </c>
      <c r="C2" t="s">
        <v>32</v>
      </c>
      <c r="D2" t="s">
        <v>31</v>
      </c>
      <c r="E2" t="s">
        <v>34</v>
      </c>
      <c r="G2" s="30"/>
      <c r="H2" s="30" t="s">
        <v>33</v>
      </c>
      <c r="I2" t="s">
        <v>32</v>
      </c>
      <c r="J2" t="s">
        <v>31</v>
      </c>
      <c r="K2" t="s">
        <v>34</v>
      </c>
      <c r="O2" s="30"/>
      <c r="P2" s="30" t="s">
        <v>33</v>
      </c>
      <c r="Q2" t="s">
        <v>32</v>
      </c>
      <c r="R2" t="s">
        <v>31</v>
      </c>
      <c r="S2" t="s">
        <v>34</v>
      </c>
      <c r="V2" s="30" t="s">
        <v>33</v>
      </c>
      <c r="W2" s="30" t="s">
        <v>41</v>
      </c>
      <c r="X2" t="s">
        <v>32</v>
      </c>
      <c r="Y2" t="s">
        <v>31</v>
      </c>
      <c r="Z2" t="s">
        <v>34</v>
      </c>
    </row>
    <row r="3" spans="1:26" ht="15" x14ac:dyDescent="0.25">
      <c r="B3" s="30" t="s">
        <v>29</v>
      </c>
      <c r="C3">
        <v>2</v>
      </c>
      <c r="D3">
        <v>260</v>
      </c>
      <c r="E3">
        <f t="shared" ref="E3:E11" si="0">D3*C3</f>
        <v>520</v>
      </c>
      <c r="H3" s="30" t="s">
        <v>29</v>
      </c>
      <c r="I3">
        <v>41</v>
      </c>
      <c r="J3">
        <v>117</v>
      </c>
      <c r="K3">
        <f t="shared" ref="K3:K13" si="1">J3*I3</f>
        <v>4797</v>
      </c>
      <c r="P3" s="30" t="s">
        <v>29</v>
      </c>
      <c r="Q3">
        <v>2</v>
      </c>
      <c r="R3">
        <v>260</v>
      </c>
      <c r="S3">
        <f t="shared" ref="S3:S10" si="2">R3*Q3</f>
        <v>520</v>
      </c>
      <c r="V3" s="30" t="s">
        <v>46</v>
      </c>
      <c r="W3">
        <v>234</v>
      </c>
      <c r="X3">
        <f>W3/39</f>
        <v>6</v>
      </c>
      <c r="Y3">
        <v>216</v>
      </c>
      <c r="Z3">
        <f>X3*Y3</f>
        <v>1296</v>
      </c>
    </row>
    <row r="4" spans="1:26" ht="15" x14ac:dyDescent="0.25">
      <c r="B4" s="30" t="s">
        <v>29</v>
      </c>
      <c r="C4">
        <v>2</v>
      </c>
      <c r="D4">
        <v>248</v>
      </c>
      <c r="E4">
        <f t="shared" si="0"/>
        <v>496</v>
      </c>
      <c r="H4" s="30" t="s">
        <v>46</v>
      </c>
      <c r="I4">
        <f>2*3</f>
        <v>6</v>
      </c>
      <c r="J4">
        <v>99</v>
      </c>
      <c r="K4">
        <f t="shared" si="1"/>
        <v>594</v>
      </c>
      <c r="P4" s="30" t="s">
        <v>29</v>
      </c>
      <c r="Q4">
        <v>166</v>
      </c>
      <c r="R4">
        <v>77</v>
      </c>
      <c r="S4">
        <f t="shared" si="2"/>
        <v>12782</v>
      </c>
      <c r="V4" s="30" t="s">
        <v>46</v>
      </c>
      <c r="W4">
        <v>78</v>
      </c>
      <c r="X4">
        <f>W4/39</f>
        <v>2</v>
      </c>
      <c r="Y4">
        <v>212</v>
      </c>
      <c r="Z4">
        <f t="shared" ref="Z4" si="3">X4*Y4</f>
        <v>424</v>
      </c>
    </row>
    <row r="5" spans="1:26" ht="15" x14ac:dyDescent="0.25">
      <c r="B5" s="30" t="s">
        <v>29</v>
      </c>
      <c r="C5">
        <v>166</v>
      </c>
      <c r="D5">
        <v>77</v>
      </c>
      <c r="E5">
        <f t="shared" si="0"/>
        <v>12782</v>
      </c>
      <c r="H5" s="30" t="s">
        <v>39</v>
      </c>
      <c r="I5">
        <v>1</v>
      </c>
      <c r="J5">
        <v>102</v>
      </c>
      <c r="K5">
        <f t="shared" si="1"/>
        <v>102</v>
      </c>
      <c r="P5" s="30" t="s">
        <v>39</v>
      </c>
      <c r="Q5">
        <v>2</v>
      </c>
      <c r="R5">
        <v>103</v>
      </c>
      <c r="S5">
        <f t="shared" si="2"/>
        <v>206</v>
      </c>
      <c r="V5" s="30" t="s">
        <v>46</v>
      </c>
      <c r="W5">
        <v>273</v>
      </c>
      <c r="X5">
        <f>W5/39</f>
        <v>7</v>
      </c>
      <c r="Y5">
        <v>76</v>
      </c>
      <c r="Z5">
        <f>X5*Y5</f>
        <v>532</v>
      </c>
    </row>
    <row r="6" spans="1:26" ht="15" x14ac:dyDescent="0.25">
      <c r="B6" s="30" t="s">
        <v>39</v>
      </c>
      <c r="C6">
        <v>2</v>
      </c>
      <c r="D6">
        <v>83</v>
      </c>
      <c r="E6">
        <f t="shared" si="0"/>
        <v>166</v>
      </c>
      <c r="H6" s="30" t="s">
        <v>39</v>
      </c>
      <c r="I6">
        <v>1</v>
      </c>
      <c r="J6">
        <v>265</v>
      </c>
      <c r="K6">
        <f t="shared" si="1"/>
        <v>265</v>
      </c>
      <c r="P6" s="30" t="s">
        <v>39</v>
      </c>
      <c r="Q6">
        <v>2</v>
      </c>
      <c r="R6">
        <v>1200</v>
      </c>
      <c r="S6">
        <f t="shared" si="2"/>
        <v>2400</v>
      </c>
      <c r="V6" s="30" t="s">
        <v>55</v>
      </c>
      <c r="W6">
        <v>156</v>
      </c>
      <c r="X6">
        <f>W6/39</f>
        <v>4</v>
      </c>
      <c r="Y6">
        <v>100</v>
      </c>
      <c r="Z6">
        <f t="shared" ref="Z6" si="4">X6*Y6</f>
        <v>400</v>
      </c>
    </row>
    <row r="7" spans="1:26" ht="15" x14ac:dyDescent="0.25">
      <c r="B7" s="30" t="s">
        <v>39</v>
      </c>
      <c r="C7">
        <v>2</v>
      </c>
      <c r="D7">
        <v>1200</v>
      </c>
      <c r="E7">
        <f t="shared" si="0"/>
        <v>2400</v>
      </c>
      <c r="H7" s="30" t="s">
        <v>39</v>
      </c>
      <c r="I7">
        <v>1</v>
      </c>
      <c r="J7">
        <v>280</v>
      </c>
      <c r="K7">
        <f t="shared" si="1"/>
        <v>280</v>
      </c>
      <c r="M7">
        <v>5</v>
      </c>
      <c r="N7">
        <f>((M7/1000)^2*PI())/4*7850</f>
        <v>0.15413438956674921</v>
      </c>
      <c r="P7" s="30" t="s">
        <v>39</v>
      </c>
      <c r="Q7">
        <v>2</v>
      </c>
      <c r="R7">
        <v>1100</v>
      </c>
      <c r="S7">
        <f t="shared" si="2"/>
        <v>2200</v>
      </c>
    </row>
    <row r="8" spans="1:26" ht="15" x14ac:dyDescent="0.25">
      <c r="B8" s="30" t="s">
        <v>39</v>
      </c>
      <c r="C8">
        <v>2</v>
      </c>
      <c r="D8">
        <v>244</v>
      </c>
      <c r="E8">
        <f t="shared" si="0"/>
        <v>488</v>
      </c>
      <c r="H8" s="30" t="s">
        <v>39</v>
      </c>
      <c r="I8">
        <v>1</v>
      </c>
      <c r="J8">
        <v>117</v>
      </c>
      <c r="K8">
        <f t="shared" si="1"/>
        <v>117</v>
      </c>
      <c r="M8">
        <v>6.3</v>
      </c>
      <c r="N8">
        <f t="shared" ref="N8:N11" si="5">((M8/1000)^2*PI())/4*7850</f>
        <v>0.24470375687617107</v>
      </c>
      <c r="P8" s="30" t="s">
        <v>39</v>
      </c>
      <c r="Q8">
        <v>2</v>
      </c>
      <c r="R8">
        <v>807</v>
      </c>
      <c r="S8">
        <f t="shared" si="2"/>
        <v>1614</v>
      </c>
    </row>
    <row r="9" spans="1:26" ht="15" x14ac:dyDescent="0.25">
      <c r="B9" s="30" t="s">
        <v>39</v>
      </c>
      <c r="C9">
        <v>2</v>
      </c>
      <c r="D9">
        <v>807</v>
      </c>
      <c r="E9">
        <f t="shared" si="0"/>
        <v>1614</v>
      </c>
      <c r="H9" s="30" t="s">
        <v>39</v>
      </c>
      <c r="I9">
        <v>2</v>
      </c>
      <c r="J9">
        <v>1101</v>
      </c>
      <c r="K9">
        <f t="shared" si="1"/>
        <v>2202</v>
      </c>
      <c r="M9">
        <v>8</v>
      </c>
      <c r="N9">
        <f t="shared" si="5"/>
        <v>0.39458403729087799</v>
      </c>
      <c r="P9" s="30" t="s">
        <v>39</v>
      </c>
      <c r="Q9">
        <v>2</v>
      </c>
      <c r="R9">
        <v>825</v>
      </c>
      <c r="S9">
        <f t="shared" si="2"/>
        <v>1650</v>
      </c>
    </row>
    <row r="10" spans="1:26" ht="15" x14ac:dyDescent="0.25">
      <c r="B10" s="30" t="s">
        <v>39</v>
      </c>
      <c r="C10">
        <v>2</v>
      </c>
      <c r="D10">
        <v>805</v>
      </c>
      <c r="E10">
        <f t="shared" si="0"/>
        <v>1610</v>
      </c>
      <c r="H10" s="30" t="s">
        <v>39</v>
      </c>
      <c r="I10">
        <v>1</v>
      </c>
      <c r="J10">
        <v>209</v>
      </c>
      <c r="K10">
        <f t="shared" si="1"/>
        <v>209</v>
      </c>
      <c r="M10">
        <v>10</v>
      </c>
      <c r="N10">
        <f t="shared" si="5"/>
        <v>0.61653755826699685</v>
      </c>
      <c r="P10" s="30" t="s">
        <v>39</v>
      </c>
      <c r="Q10">
        <v>2</v>
      </c>
      <c r="R10">
        <v>985</v>
      </c>
      <c r="S10">
        <f t="shared" si="2"/>
        <v>1970</v>
      </c>
    </row>
    <row r="11" spans="1:26" ht="15" x14ac:dyDescent="0.25">
      <c r="B11" s="30" t="s">
        <v>39</v>
      </c>
      <c r="C11">
        <v>2</v>
      </c>
      <c r="D11">
        <v>965</v>
      </c>
      <c r="E11">
        <f t="shared" si="0"/>
        <v>1930</v>
      </c>
      <c r="H11" s="30" t="s">
        <v>39</v>
      </c>
      <c r="I11">
        <v>1</v>
      </c>
      <c r="J11">
        <v>150</v>
      </c>
      <c r="K11">
        <f t="shared" si="1"/>
        <v>150</v>
      </c>
      <c r="M11">
        <v>12.5</v>
      </c>
      <c r="N11">
        <f t="shared" si="5"/>
        <v>0.96333993479218272</v>
      </c>
    </row>
    <row r="12" spans="1:26" ht="15" x14ac:dyDescent="0.25">
      <c r="B12" s="30"/>
      <c r="H12" s="30" t="s">
        <v>39</v>
      </c>
      <c r="I12">
        <v>2</v>
      </c>
      <c r="J12">
        <v>287</v>
      </c>
      <c r="K12">
        <f t="shared" si="1"/>
        <v>574</v>
      </c>
    </row>
    <row r="13" spans="1:26" ht="15" x14ac:dyDescent="0.25">
      <c r="B13" s="30"/>
      <c r="H13" s="30" t="s">
        <v>39</v>
      </c>
      <c r="I13">
        <v>2</v>
      </c>
      <c r="J13">
        <v>1155</v>
      </c>
      <c r="K13">
        <f t="shared" si="1"/>
        <v>2310</v>
      </c>
    </row>
    <row r="14" spans="1:26" ht="15" x14ac:dyDescent="0.25">
      <c r="B14" s="30"/>
      <c r="H14" s="30"/>
      <c r="W14" s="30" t="s">
        <v>33</v>
      </c>
      <c r="X14" t="s">
        <v>35</v>
      </c>
      <c r="Y14" t="s">
        <v>36</v>
      </c>
    </row>
    <row r="15" spans="1:26" ht="15" x14ac:dyDescent="0.25">
      <c r="B15" s="30"/>
      <c r="H15" s="30"/>
      <c r="W15" s="30" t="s">
        <v>46</v>
      </c>
      <c r="X15">
        <f>(Z3+Z4+Z5)/100</f>
        <v>22.52</v>
      </c>
      <c r="Y15">
        <f>X15*N8</f>
        <v>5.5107286048513728</v>
      </c>
    </row>
    <row r="16" spans="1:26" ht="15" x14ac:dyDescent="0.25">
      <c r="B16" s="30"/>
      <c r="H16" s="30"/>
      <c r="W16" s="30" t="s">
        <v>55</v>
      </c>
      <c r="X16">
        <f>Z6/100</f>
        <v>4</v>
      </c>
      <c r="Y16">
        <f>X16*N11</f>
        <v>3.8533597391687309</v>
      </c>
    </row>
    <row r="17" spans="1:24" ht="15" x14ac:dyDescent="0.25">
      <c r="H17" s="30"/>
    </row>
    <row r="19" spans="1:24" ht="15" x14ac:dyDescent="0.25">
      <c r="V19" t="s">
        <v>44</v>
      </c>
    </row>
    <row r="20" spans="1:24" ht="15" x14ac:dyDescent="0.25">
      <c r="V20" t="s">
        <v>45</v>
      </c>
      <c r="W20">
        <f>Y16+Y15</f>
        <v>9.3640883440201037</v>
      </c>
      <c r="X20">
        <f>X23*W20</f>
        <v>74.91270675216083</v>
      </c>
    </row>
    <row r="21" spans="1:24" ht="15" x14ac:dyDescent="0.25">
      <c r="A21" s="30" t="s">
        <v>33</v>
      </c>
      <c r="B21" s="30"/>
      <c r="C21" t="s">
        <v>35</v>
      </c>
      <c r="D21" t="s">
        <v>36</v>
      </c>
      <c r="G21" s="30" t="s">
        <v>33</v>
      </c>
      <c r="H21" s="30"/>
      <c r="I21" t="s">
        <v>35</v>
      </c>
      <c r="J21" t="s">
        <v>36</v>
      </c>
      <c r="O21" s="30" t="s">
        <v>33</v>
      </c>
      <c r="P21" s="30"/>
      <c r="Q21" t="s">
        <v>35</v>
      </c>
      <c r="R21" t="s">
        <v>36</v>
      </c>
    </row>
    <row r="22" spans="1:24" ht="15" x14ac:dyDescent="0.25">
      <c r="A22" s="30" t="s">
        <v>29</v>
      </c>
      <c r="B22" s="30"/>
      <c r="C22">
        <f>(E5+E4+E3)/100</f>
        <v>137.97999999999999</v>
      </c>
      <c r="D22">
        <f>C22*N7</f>
        <v>21.267463072420053</v>
      </c>
      <c r="G22" s="30" t="s">
        <v>29</v>
      </c>
      <c r="H22" s="30"/>
      <c r="I22">
        <f>K3/100</f>
        <v>47.97</v>
      </c>
      <c r="J22">
        <f>N7*I22</f>
        <v>7.3938266675169597</v>
      </c>
      <c r="O22" s="30" t="s">
        <v>29</v>
      </c>
      <c r="P22" s="30"/>
      <c r="Q22">
        <f>(S3+S4)/100</f>
        <v>133.02000000000001</v>
      </c>
      <c r="R22">
        <f>N7*Q22</f>
        <v>20.502956500168981</v>
      </c>
    </row>
    <row r="23" spans="1:24" x14ac:dyDescent="0.45">
      <c r="A23" s="30" t="s">
        <v>39</v>
      </c>
      <c r="B23" s="30"/>
      <c r="C23">
        <f>(E6+E7+E8+E9+E10+E11)/100</f>
        <v>82.08</v>
      </c>
      <c r="D23">
        <f>C23*N9</f>
        <v>32.387457780835263</v>
      </c>
      <c r="G23" s="30" t="s">
        <v>46</v>
      </c>
      <c r="H23" s="30"/>
      <c r="I23">
        <f>K4/100</f>
        <v>5.94</v>
      </c>
      <c r="J23">
        <f>I23*N8</f>
        <v>1.4535403158444562</v>
      </c>
      <c r="O23" s="30" t="s">
        <v>39</v>
      </c>
      <c r="P23" s="30"/>
      <c r="Q23">
        <f>SUM(S5:S10)/100</f>
        <v>100.4</v>
      </c>
      <c r="R23">
        <f>Q23*N9</f>
        <v>39.616237344004155</v>
      </c>
      <c r="V23" t="s">
        <v>61</v>
      </c>
      <c r="X23">
        <v>8</v>
      </c>
    </row>
    <row r="24" spans="1:24" ht="15" x14ac:dyDescent="0.25">
      <c r="A24" s="30" t="s">
        <v>55</v>
      </c>
      <c r="C24">
        <f>(E12+E13+E14+E15+E16)/100</f>
        <v>0</v>
      </c>
      <c r="D24">
        <f>C24*N11</f>
        <v>0</v>
      </c>
      <c r="G24" s="30" t="s">
        <v>39</v>
      </c>
      <c r="H24" s="30"/>
      <c r="I24">
        <f>SUM(K5:K13)/100</f>
        <v>62.09</v>
      </c>
      <c r="J24">
        <f>I24*N9</f>
        <v>24.499722875390617</v>
      </c>
      <c r="O24" s="30" t="s">
        <v>55</v>
      </c>
    </row>
    <row r="26" spans="1:24" ht="15" x14ac:dyDescent="0.25">
      <c r="B26" t="s">
        <v>44</v>
      </c>
      <c r="C26">
        <f>D22</f>
        <v>21.267463072420053</v>
      </c>
      <c r="H26" t="s">
        <v>44</v>
      </c>
      <c r="I26">
        <f>J22</f>
        <v>7.3938266675169597</v>
      </c>
      <c r="P26" t="s">
        <v>44</v>
      </c>
      <c r="Q26">
        <f>R22</f>
        <v>20.502956500168981</v>
      </c>
    </row>
    <row r="27" spans="1:24" ht="15" x14ac:dyDescent="0.25">
      <c r="B27" t="s">
        <v>45</v>
      </c>
      <c r="C27">
        <f>D24+D23</f>
        <v>32.387457780835263</v>
      </c>
      <c r="H27" t="s">
        <v>45</v>
      </c>
      <c r="I27">
        <f>J24+J23</f>
        <v>25.953263191235074</v>
      </c>
      <c r="P27" t="s">
        <v>45</v>
      </c>
      <c r="Q27">
        <f>R24+R23</f>
        <v>39.616237344004155</v>
      </c>
    </row>
    <row r="29" spans="1:24" ht="15" x14ac:dyDescent="0.25">
      <c r="B29" t="s">
        <v>59</v>
      </c>
      <c r="C29">
        <f>(25.65*0.3)*2</f>
        <v>15.389999999999999</v>
      </c>
      <c r="H29" t="s">
        <v>59</v>
      </c>
      <c r="I29" s="25">
        <f>(11*0.5)*2</f>
        <v>11</v>
      </c>
      <c r="O29" t="s">
        <v>59</v>
      </c>
      <c r="P29">
        <f>(25.65*0.3)*2</f>
        <v>15.389999999999999</v>
      </c>
      <c r="V29" t="s">
        <v>59</v>
      </c>
      <c r="W29">
        <f>(0.6*4*0.55)*X23</f>
        <v>10.56</v>
      </c>
    </row>
    <row r="30" spans="1:24" ht="15" x14ac:dyDescent="0.25">
      <c r="B30" t="s">
        <v>60</v>
      </c>
      <c r="C30">
        <f>25.65*0.3*0.15</f>
        <v>1.1542499999999998</v>
      </c>
      <c r="H30" t="s">
        <v>60</v>
      </c>
      <c r="I30">
        <f>11*0.5*0.15</f>
        <v>0.82499999999999996</v>
      </c>
      <c r="O30" t="s">
        <v>60</v>
      </c>
      <c r="P30">
        <f>25.65*0.3*0.15</f>
        <v>1.1542499999999998</v>
      </c>
      <c r="V30" t="s">
        <v>60</v>
      </c>
      <c r="W30">
        <f>(0.6*0.55*0.6)*X23</f>
        <v>1.5840000000000001</v>
      </c>
    </row>
    <row r="35" spans="2:7" x14ac:dyDescent="0.45">
      <c r="D35" t="s">
        <v>63</v>
      </c>
    </row>
    <row r="36" spans="2:7" x14ac:dyDescent="0.45">
      <c r="E36" t="s">
        <v>43</v>
      </c>
      <c r="F36" t="s">
        <v>59</v>
      </c>
      <c r="G36" t="s">
        <v>60</v>
      </c>
    </row>
    <row r="37" spans="2:7" ht="15" x14ac:dyDescent="0.25">
      <c r="D37" t="s">
        <v>51</v>
      </c>
      <c r="E37">
        <f>264.9+103.7</f>
        <v>368.59999999999997</v>
      </c>
      <c r="F37">
        <f>129.48</f>
        <v>129.47999999999999</v>
      </c>
      <c r="G37">
        <v>8.24</v>
      </c>
    </row>
    <row r="38" spans="2:7" ht="15" x14ac:dyDescent="0.25">
      <c r="D38" t="s">
        <v>40</v>
      </c>
      <c r="E38">
        <f>72+70.1</f>
        <v>142.1</v>
      </c>
      <c r="F38">
        <v>23.12</v>
      </c>
      <c r="G38">
        <v>1.56</v>
      </c>
    </row>
    <row r="39" spans="2:7" ht="15" x14ac:dyDescent="0.25">
      <c r="D39" t="s">
        <v>38</v>
      </c>
      <c r="E39">
        <f>133+149.1</f>
        <v>282.10000000000002</v>
      </c>
      <c r="F39">
        <v>61.8</v>
      </c>
      <c r="G39">
        <v>12.51</v>
      </c>
    </row>
    <row r="41" spans="2:7" ht="15" x14ac:dyDescent="0.25">
      <c r="D41" t="s">
        <v>50</v>
      </c>
      <c r="E41">
        <f>SUM(E37:E39)</f>
        <v>792.8</v>
      </c>
      <c r="F41">
        <f>SUM(F37:F39)</f>
        <v>214.39999999999998</v>
      </c>
      <c r="G41">
        <f>SUM(G37:G39)</f>
        <v>22.310000000000002</v>
      </c>
    </row>
    <row r="42" spans="2:7" x14ac:dyDescent="0.45">
      <c r="B42" t="s">
        <v>64</v>
      </c>
      <c r="E42">
        <f>C26+C27+I26+I27+Q26+Q27</f>
        <v>147.12120455618049</v>
      </c>
      <c r="F42">
        <f>C29+I29+P29</f>
        <v>41.78</v>
      </c>
      <c r="G42">
        <f>C30+I30+P30</f>
        <v>3.1334999999999997</v>
      </c>
    </row>
    <row r="43" spans="2:7" x14ac:dyDescent="0.45">
      <c r="B43" t="s">
        <v>65</v>
      </c>
      <c r="E43">
        <f>X20</f>
        <v>74.91270675216083</v>
      </c>
      <c r="F43">
        <f>W29</f>
        <v>10.56</v>
      </c>
      <c r="G43">
        <f>W30</f>
        <v>1.5840000000000001</v>
      </c>
    </row>
    <row r="44" spans="2:7" ht="15" x14ac:dyDescent="0.25">
      <c r="C44" t="s">
        <v>28</v>
      </c>
      <c r="E44">
        <f>E42+E43</f>
        <v>222.03391130834132</v>
      </c>
      <c r="F44">
        <f>F42+F43</f>
        <v>52.34</v>
      </c>
      <c r="G44">
        <f>G42+G43</f>
        <v>4.7174999999999994</v>
      </c>
    </row>
    <row r="45" spans="2:7" ht="15" x14ac:dyDescent="0.25">
      <c r="C45" t="s">
        <v>66</v>
      </c>
      <c r="E45" s="26">
        <f>1-(E44/E41)</f>
        <v>0.71993704426293981</v>
      </c>
      <c r="F45" s="26">
        <f>1-(F44/F41)</f>
        <v>0.7558768656716417</v>
      </c>
      <c r="G45" s="26">
        <f>1-(G44/G41)</f>
        <v>0.78854773644105791</v>
      </c>
    </row>
  </sheetData>
  <mergeCells count="4">
    <mergeCell ref="A1:E1"/>
    <mergeCell ref="G1:K1"/>
    <mergeCell ref="O1:S1"/>
    <mergeCell ref="V1:Z1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6"/>
  <sheetViews>
    <sheetView workbookViewId="0">
      <selection activeCell="F8" sqref="F8:H8"/>
    </sheetView>
  </sheetViews>
  <sheetFormatPr defaultRowHeight="14.25" x14ac:dyDescent="0.45"/>
  <cols>
    <col min="4" max="4" width="12.265625" bestFit="1" customWidth="1"/>
  </cols>
  <sheetData>
    <row r="1" spans="2:17" x14ac:dyDescent="0.45">
      <c r="E1" t="s">
        <v>63</v>
      </c>
    </row>
    <row r="2" spans="2:17" x14ac:dyDescent="0.45">
      <c r="F2" t="s">
        <v>43</v>
      </c>
      <c r="G2" t="s">
        <v>59</v>
      </c>
      <c r="H2" t="s">
        <v>60</v>
      </c>
    </row>
    <row r="3" spans="2:17" ht="15" x14ac:dyDescent="0.25">
      <c r="E3" t="s">
        <v>51</v>
      </c>
      <c r="F3">
        <v>691</v>
      </c>
      <c r="G3">
        <v>153.71</v>
      </c>
      <c r="H3">
        <v>9.7200000000000006</v>
      </c>
    </row>
    <row r="4" spans="2:17" ht="15" x14ac:dyDescent="0.25">
      <c r="E4" t="s">
        <v>40</v>
      </c>
      <c r="F4">
        <f>79.5+45.4+83</f>
        <v>207.9</v>
      </c>
      <c r="G4">
        <v>30.3</v>
      </c>
      <c r="H4">
        <v>2.0499999999999998</v>
      </c>
      <c r="J4">
        <v>42</v>
      </c>
      <c r="K4">
        <v>14</v>
      </c>
      <c r="L4">
        <v>34</v>
      </c>
      <c r="M4">
        <v>5</v>
      </c>
      <c r="Q4" t="s">
        <v>38</v>
      </c>
    </row>
    <row r="5" spans="2:17" ht="15" x14ac:dyDescent="0.25">
      <c r="B5">
        <f>F4+F3+K5</f>
        <v>1392.5666666666666</v>
      </c>
      <c r="E5" t="s">
        <v>38</v>
      </c>
      <c r="F5">
        <f>(698.3+782.7)+(728.96*0.2447)</f>
        <v>1659.376512</v>
      </c>
      <c r="G5">
        <v>324.45</v>
      </c>
      <c r="H5">
        <v>65.66</v>
      </c>
      <c r="I5">
        <f>H5/42</f>
        <v>1.5633333333333332</v>
      </c>
      <c r="J5">
        <f>698.3+782.7</f>
        <v>1481</v>
      </c>
      <c r="K5">
        <f>J5*K4/J4</f>
        <v>493.66666666666669</v>
      </c>
      <c r="L5">
        <f>(728.96*0.2447)</f>
        <v>178.37651200000002</v>
      </c>
      <c r="M5">
        <f>L5*M4/L4</f>
        <v>26.231840000000005</v>
      </c>
      <c r="N5">
        <f>M5+K5</f>
        <v>519.89850666666666</v>
      </c>
      <c r="O5">
        <f>N5/F8</f>
        <v>0.34839961292430471</v>
      </c>
      <c r="Q5">
        <f>J5</f>
        <v>1481</v>
      </c>
    </row>
    <row r="6" spans="2:17" ht="15" x14ac:dyDescent="0.25">
      <c r="D6" t="s">
        <v>85</v>
      </c>
      <c r="E6" t="s">
        <v>38</v>
      </c>
      <c r="F6">
        <f>((698.3+782.7)/42)*14+(728.96*0.2447)/34*19</f>
        <v>593.34765866666658</v>
      </c>
      <c r="G6">
        <f>324.45/42</f>
        <v>7.7249999999999996</v>
      </c>
      <c r="H6">
        <f>65.66/42*14</f>
        <v>21.886666666666667</v>
      </c>
    </row>
    <row r="8" spans="2:17" ht="15" x14ac:dyDescent="0.25">
      <c r="E8" t="s">
        <v>50</v>
      </c>
      <c r="F8">
        <f>F6+F4+F3</f>
        <v>1492.2476586666667</v>
      </c>
      <c r="G8">
        <f>G6+G4+G3</f>
        <v>191.73500000000001</v>
      </c>
      <c r="H8">
        <f>H6+H4+H3</f>
        <v>33.656666666666666</v>
      </c>
    </row>
    <row r="9" spans="2:17" ht="15" x14ac:dyDescent="0.25">
      <c r="C9" t="s">
        <v>69</v>
      </c>
      <c r="F9">
        <f>K5</f>
        <v>493.66666666666669</v>
      </c>
      <c r="J9">
        <v>42</v>
      </c>
      <c r="K9">
        <v>6</v>
      </c>
      <c r="L9">
        <v>34</v>
      </c>
      <c r="M9">
        <v>5</v>
      </c>
    </row>
    <row r="10" spans="2:17" x14ac:dyDescent="0.45">
      <c r="C10" t="s">
        <v>65</v>
      </c>
      <c r="J10">
        <f>H5</f>
        <v>65.66</v>
      </c>
      <c r="K10">
        <f>J10*K9/J9</f>
        <v>9.379999999999999</v>
      </c>
      <c r="L10">
        <f>(728.96*0.2447)</f>
        <v>178.37651200000002</v>
      </c>
      <c r="M10">
        <f>L10*M9/L9</f>
        <v>26.231840000000005</v>
      </c>
      <c r="N10">
        <f>M10+K10</f>
        <v>35.611840000000001</v>
      </c>
      <c r="O10">
        <f>N10/F12</f>
        <v>107.6468970846967</v>
      </c>
    </row>
    <row r="11" spans="2:17" ht="15" x14ac:dyDescent="0.25">
      <c r="D11" t="s">
        <v>28</v>
      </c>
      <c r="F11">
        <f>F9+F10</f>
        <v>493.66666666666669</v>
      </c>
      <c r="G11">
        <f>G9+G10</f>
        <v>0</v>
      </c>
      <c r="H11">
        <f>H9+H10</f>
        <v>0</v>
      </c>
      <c r="Q11" t="s">
        <v>86</v>
      </c>
    </row>
    <row r="12" spans="2:17" ht="15" x14ac:dyDescent="0.25">
      <c r="D12" t="s">
        <v>66</v>
      </c>
      <c r="F12" s="26">
        <f>F11/F8</f>
        <v>0.33082086864037114</v>
      </c>
      <c r="G12" s="26">
        <f>1-(G11/G8)</f>
        <v>1</v>
      </c>
      <c r="H12" s="26">
        <f>1-(H11/H8)</f>
        <v>1</v>
      </c>
      <c r="K12">
        <f>0.6*0.6*0.55*5</f>
        <v>0.99</v>
      </c>
    </row>
    <row r="13" spans="2:17" ht="15" x14ac:dyDescent="0.25">
      <c r="K13">
        <f>K10+K12</f>
        <v>10.37</v>
      </c>
      <c r="L13">
        <f>K13/H8</f>
        <v>0.30811132019411702</v>
      </c>
    </row>
    <row r="15" spans="2:17" ht="15" x14ac:dyDescent="0.25">
      <c r="J15">
        <v>42</v>
      </c>
      <c r="K15">
        <v>6</v>
      </c>
    </row>
    <row r="16" spans="2:17" ht="15" x14ac:dyDescent="0.25">
      <c r="J16">
        <f>H12</f>
        <v>1</v>
      </c>
      <c r="K16">
        <f>J16*K15/J15</f>
        <v>0.14285714285714285</v>
      </c>
      <c r="L16">
        <f>K5/J5</f>
        <v>0.33333333333333337</v>
      </c>
    </row>
  </sheetData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0"/>
  <sheetViews>
    <sheetView zoomScale="70" zoomScaleNormal="70" workbookViewId="0">
      <selection activeCell="C4" sqref="C4"/>
    </sheetView>
  </sheetViews>
  <sheetFormatPr defaultRowHeight="14.25" x14ac:dyDescent="0.45"/>
  <cols>
    <col min="3" max="3" width="9" bestFit="1" customWidth="1"/>
    <col min="7" max="8" width="14.86328125" bestFit="1" customWidth="1"/>
  </cols>
  <sheetData>
    <row r="1" spans="2:20" ht="15" x14ac:dyDescent="0.25">
      <c r="B1" s="114" t="s">
        <v>38</v>
      </c>
      <c r="C1" s="114"/>
      <c r="D1" s="114"/>
      <c r="E1" s="114"/>
      <c r="F1" s="114"/>
    </row>
    <row r="2" spans="2:20" ht="15" x14ac:dyDescent="0.25">
      <c r="B2" s="22" t="s">
        <v>33</v>
      </c>
      <c r="C2" s="22" t="s">
        <v>41</v>
      </c>
      <c r="D2" t="s">
        <v>32</v>
      </c>
      <c r="E2" t="s">
        <v>31</v>
      </c>
      <c r="F2" t="s">
        <v>34</v>
      </c>
    </row>
    <row r="3" spans="2:20" ht="15" x14ac:dyDescent="0.25">
      <c r="B3" s="22" t="s">
        <v>29</v>
      </c>
      <c r="C3">
        <v>204</v>
      </c>
      <c r="D3">
        <f>C3/51</f>
        <v>4</v>
      </c>
      <c r="E3">
        <v>299</v>
      </c>
      <c r="F3">
        <f>D3*E3</f>
        <v>1196</v>
      </c>
      <c r="L3">
        <v>5</v>
      </c>
      <c r="M3">
        <f>((L3/1000)^2*PI())/4*7850</f>
        <v>0.15413438956674921</v>
      </c>
      <c r="Q3" s="114" t="s">
        <v>51</v>
      </c>
      <c r="R3" s="114"/>
      <c r="S3" s="114"/>
      <c r="T3" s="114"/>
    </row>
    <row r="4" spans="2:20" x14ac:dyDescent="0.45">
      <c r="B4" s="22" t="s">
        <v>29</v>
      </c>
      <c r="C4">
        <v>306</v>
      </c>
      <c r="D4">
        <f t="shared" ref="D4:D7" si="0">C4/51</f>
        <v>6</v>
      </c>
      <c r="E4">
        <v>575</v>
      </c>
      <c r="F4">
        <f t="shared" ref="F4:F7" si="1">D4*E4</f>
        <v>3450</v>
      </c>
      <c r="L4">
        <v>6.3</v>
      </c>
      <c r="M4">
        <f t="shared" ref="M4:M7" si="2">((L4/1000)^2*PI())/4*7850</f>
        <v>0.24470375687617107</v>
      </c>
      <c r="Q4" t="s">
        <v>43</v>
      </c>
      <c r="R4" s="23" t="s">
        <v>33</v>
      </c>
      <c r="S4" t="s">
        <v>35</v>
      </c>
      <c r="T4" t="s">
        <v>36</v>
      </c>
    </row>
    <row r="5" spans="2:20" ht="15" x14ac:dyDescent="0.25">
      <c r="B5" s="22" t="s">
        <v>29</v>
      </c>
      <c r="C5">
        <v>204</v>
      </c>
      <c r="D5">
        <f t="shared" si="0"/>
        <v>4</v>
      </c>
      <c r="E5">
        <v>239</v>
      </c>
      <c r="F5">
        <f t="shared" si="1"/>
        <v>956</v>
      </c>
      <c r="L5">
        <v>8</v>
      </c>
      <c r="M5">
        <f t="shared" si="2"/>
        <v>0.39458403729087799</v>
      </c>
      <c r="Q5" t="s">
        <v>45</v>
      </c>
      <c r="R5" s="23" t="s">
        <v>46</v>
      </c>
      <c r="S5">
        <v>1707</v>
      </c>
      <c r="T5">
        <f>M4*S5</f>
        <v>417.709312987624</v>
      </c>
    </row>
    <row r="6" spans="2:20" ht="15" x14ac:dyDescent="0.25">
      <c r="B6" s="22" t="s">
        <v>29</v>
      </c>
      <c r="C6">
        <v>510</v>
      </c>
      <c r="D6">
        <f t="shared" si="0"/>
        <v>10</v>
      </c>
      <c r="E6">
        <v>263</v>
      </c>
      <c r="F6">
        <f t="shared" si="1"/>
        <v>2630</v>
      </c>
      <c r="L6">
        <v>10</v>
      </c>
      <c r="M6">
        <f t="shared" si="2"/>
        <v>0.61653755826699685</v>
      </c>
      <c r="R6" s="23" t="s">
        <v>39</v>
      </c>
      <c r="S6">
        <v>143.30000000000001</v>
      </c>
      <c r="T6">
        <f t="shared" ref="T6:T8" si="3">M5*S6</f>
        <v>56.543892543782817</v>
      </c>
    </row>
    <row r="7" spans="2:20" ht="15" x14ac:dyDescent="0.25">
      <c r="B7" s="22" t="s">
        <v>39</v>
      </c>
      <c r="C7">
        <v>306</v>
      </c>
      <c r="D7">
        <f t="shared" si="0"/>
        <v>6</v>
      </c>
      <c r="E7">
        <v>378</v>
      </c>
      <c r="F7">
        <f t="shared" si="1"/>
        <v>2268</v>
      </c>
      <c r="L7">
        <v>12.5</v>
      </c>
      <c r="M7">
        <f t="shared" si="2"/>
        <v>0.96333993479218272</v>
      </c>
      <c r="R7" s="23" t="s">
        <v>30</v>
      </c>
      <c r="S7">
        <v>283.7</v>
      </c>
      <c r="T7">
        <f t="shared" si="3"/>
        <v>174.91170528034701</v>
      </c>
    </row>
    <row r="8" spans="2:20" ht="15" x14ac:dyDescent="0.25">
      <c r="R8" s="23">
        <v>12.5</v>
      </c>
      <c r="S8">
        <v>152.80000000000001</v>
      </c>
      <c r="T8">
        <f t="shared" si="3"/>
        <v>147.19834203624552</v>
      </c>
    </row>
    <row r="10" spans="2:20" x14ac:dyDescent="0.45">
      <c r="B10" s="22" t="s">
        <v>33</v>
      </c>
      <c r="C10" s="22"/>
      <c r="D10" t="s">
        <v>35</v>
      </c>
      <c r="E10" t="s">
        <v>36</v>
      </c>
      <c r="G10" t="s">
        <v>37</v>
      </c>
      <c r="H10" t="s">
        <v>42</v>
      </c>
      <c r="I10" t="s">
        <v>47</v>
      </c>
    </row>
    <row r="11" spans="2:20" ht="15" x14ac:dyDescent="0.25">
      <c r="B11" s="22" t="s">
        <v>29</v>
      </c>
      <c r="C11" s="22"/>
      <c r="D11">
        <f>(F6+F5+F4+F3)/100</f>
        <v>82.32</v>
      </c>
      <c r="E11">
        <f>D11*M3</f>
        <v>12.688342949134794</v>
      </c>
      <c r="G11">
        <f>E11*10</f>
        <v>126.88342949134794</v>
      </c>
      <c r="I11">
        <f>E11*18</f>
        <v>228.39017308442629</v>
      </c>
      <c r="R11">
        <f>T8+T7+T6+T5</f>
        <v>796.36325284799932</v>
      </c>
    </row>
    <row r="12" spans="2:20" ht="15" x14ac:dyDescent="0.25">
      <c r="B12" s="22" t="s">
        <v>39</v>
      </c>
      <c r="C12" s="22"/>
      <c r="D12">
        <f>F7/100</f>
        <v>22.68</v>
      </c>
      <c r="E12">
        <f>D12*M6</f>
        <v>13.983071821495489</v>
      </c>
      <c r="G12">
        <f>E12*10</f>
        <v>139.83071821495489</v>
      </c>
      <c r="I12">
        <f>E12*18</f>
        <v>251.6952927869188</v>
      </c>
      <c r="J12">
        <f>G12+G11</f>
        <v>266.71414770630281</v>
      </c>
      <c r="K12" s="26">
        <f>J12/K30</f>
        <v>0.16822047831243653</v>
      </c>
    </row>
    <row r="16" spans="2:20" ht="15" x14ac:dyDescent="0.25">
      <c r="B16" s="114" t="s">
        <v>40</v>
      </c>
      <c r="C16" s="114"/>
      <c r="D16" s="114"/>
      <c r="E16" s="114"/>
      <c r="F16" s="114"/>
    </row>
    <row r="17" spans="2:11" ht="15" x14ac:dyDescent="0.25">
      <c r="B17" s="22" t="s">
        <v>33</v>
      </c>
      <c r="C17" s="22" t="s">
        <v>41</v>
      </c>
      <c r="D17" t="s">
        <v>32</v>
      </c>
      <c r="E17" t="s">
        <v>31</v>
      </c>
      <c r="F17" t="s">
        <v>34</v>
      </c>
    </row>
    <row r="18" spans="2:11" ht="15" x14ac:dyDescent="0.25">
      <c r="B18" s="22" t="s">
        <v>29</v>
      </c>
      <c r="C18">
        <v>1020</v>
      </c>
      <c r="D18">
        <f t="shared" ref="D18:D20" si="4">C18/51</f>
        <v>20</v>
      </c>
      <c r="E18">
        <v>39</v>
      </c>
      <c r="F18">
        <f t="shared" ref="F18" si="5">D18*E18</f>
        <v>780</v>
      </c>
    </row>
    <row r="19" spans="2:11" ht="15" x14ac:dyDescent="0.25">
      <c r="B19" s="22" t="s">
        <v>29</v>
      </c>
      <c r="C19">
        <v>1020</v>
      </c>
      <c r="D19">
        <f t="shared" si="4"/>
        <v>20</v>
      </c>
      <c r="E19">
        <v>99</v>
      </c>
      <c r="F19">
        <f t="shared" ref="F19:F20" si="6">D19*E19</f>
        <v>1980</v>
      </c>
    </row>
    <row r="20" spans="2:11" ht="15" x14ac:dyDescent="0.25">
      <c r="B20" s="22" t="s">
        <v>30</v>
      </c>
      <c r="C20">
        <v>408</v>
      </c>
      <c r="D20">
        <f t="shared" si="4"/>
        <v>8</v>
      </c>
      <c r="E20">
        <v>125</v>
      </c>
      <c r="F20">
        <f t="shared" si="6"/>
        <v>1000</v>
      </c>
    </row>
    <row r="23" spans="2:11" x14ac:dyDescent="0.45">
      <c r="B23" s="22" t="s">
        <v>33</v>
      </c>
      <c r="C23" s="22"/>
      <c r="D23" t="s">
        <v>35</v>
      </c>
      <c r="E23" t="s">
        <v>36</v>
      </c>
      <c r="G23" t="s">
        <v>37</v>
      </c>
      <c r="H23" t="s">
        <v>42</v>
      </c>
      <c r="I23" t="s">
        <v>47</v>
      </c>
    </row>
    <row r="24" spans="2:11" ht="15" x14ac:dyDescent="0.25">
      <c r="B24" s="22" t="s">
        <v>29</v>
      </c>
      <c r="C24" s="22"/>
      <c r="D24">
        <f>(F19+F18)/100</f>
        <v>27.6</v>
      </c>
      <c r="E24">
        <f>M3*D24</f>
        <v>4.2541091520422789</v>
      </c>
      <c r="G24">
        <f>E24*10</f>
        <v>42.541091520422789</v>
      </c>
      <c r="I24">
        <f>E24*18</f>
        <v>76.573964736761013</v>
      </c>
    </row>
    <row r="25" spans="2:11" ht="15" x14ac:dyDescent="0.25">
      <c r="B25" s="22" t="s">
        <v>30</v>
      </c>
      <c r="C25" s="22"/>
      <c r="D25">
        <f>F20/100</f>
        <v>10</v>
      </c>
      <c r="E25">
        <f>D25*M6</f>
        <v>6.1653755826699683</v>
      </c>
      <c r="G25">
        <f>E25*10</f>
        <v>61.65375582669968</v>
      </c>
      <c r="I25">
        <f>E25*18</f>
        <v>110.97676048805943</v>
      </c>
    </row>
    <row r="27" spans="2:11" ht="15" x14ac:dyDescent="0.25">
      <c r="G27" s="23" t="s">
        <v>52</v>
      </c>
      <c r="H27" s="23" t="s">
        <v>52</v>
      </c>
      <c r="I27" t="s">
        <v>50</v>
      </c>
    </row>
    <row r="28" spans="2:11" ht="15" x14ac:dyDescent="0.25">
      <c r="E28" t="s">
        <v>49</v>
      </c>
      <c r="F28" t="s">
        <v>48</v>
      </c>
      <c r="G28" s="23" t="s">
        <v>38</v>
      </c>
      <c r="H28" t="s">
        <v>51</v>
      </c>
      <c r="I28" t="s">
        <v>53</v>
      </c>
    </row>
    <row r="29" spans="2:11" ht="15" x14ac:dyDescent="0.25">
      <c r="D29" t="s">
        <v>45</v>
      </c>
      <c r="E29">
        <f>I25+I12</f>
        <v>362.67205327497823</v>
      </c>
      <c r="F29">
        <f>40.36/5*8</f>
        <v>64.575999999999993</v>
      </c>
      <c r="G29" s="25">
        <f>F29+E29</f>
        <v>427.24805327497825</v>
      </c>
      <c r="H29" s="25">
        <f>R11</f>
        <v>796.36325284799932</v>
      </c>
      <c r="I29">
        <f>H29+G29</f>
        <v>1223.6113061229776</v>
      </c>
      <c r="J29" s="24">
        <f>G12/I29</f>
        <v>0.11427707272337133</v>
      </c>
    </row>
    <row r="30" spans="2:11" ht="15" x14ac:dyDescent="0.25">
      <c r="D30" t="s">
        <v>44</v>
      </c>
      <c r="E30">
        <f>I24+I11</f>
        <v>304.96413782118731</v>
      </c>
      <c r="F30">
        <f>35.58/5*8</f>
        <v>56.927999999999997</v>
      </c>
      <c r="G30" s="25">
        <f>F30+E30</f>
        <v>361.8921378211873</v>
      </c>
      <c r="I30">
        <f>H30+G30</f>
        <v>361.8921378211873</v>
      </c>
      <c r="J30" s="24">
        <f>G11/I30</f>
        <v>0.35061118004735897</v>
      </c>
      <c r="K30">
        <f>I30+I29</f>
        <v>1585.5034439441649</v>
      </c>
    </row>
  </sheetData>
  <mergeCells count="3">
    <mergeCell ref="B1:F1"/>
    <mergeCell ref="B16:F16"/>
    <mergeCell ref="Q3:T3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E10" sqref="E10"/>
    </sheetView>
  </sheetViews>
  <sheetFormatPr defaultRowHeight="14.25" x14ac:dyDescent="0.45"/>
  <cols>
    <col min="4" max="4" width="10.73046875" bestFit="1" customWidth="1"/>
  </cols>
  <sheetData>
    <row r="1" spans="1:4" x14ac:dyDescent="0.45">
      <c r="A1" s="114" t="s">
        <v>103</v>
      </c>
      <c r="B1" s="114"/>
      <c r="C1" s="114"/>
      <c r="D1" s="114"/>
    </row>
    <row r="2" spans="1:4" x14ac:dyDescent="0.45">
      <c r="B2" t="s">
        <v>43</v>
      </c>
      <c r="C2" t="s">
        <v>59</v>
      </c>
      <c r="D2" t="s">
        <v>60</v>
      </c>
    </row>
    <row r="3" spans="1:4" ht="15" x14ac:dyDescent="0.25">
      <c r="A3" t="s">
        <v>51</v>
      </c>
      <c r="B3">
        <f>264.9+103.7</f>
        <v>368.59999999999997</v>
      </c>
      <c r="C3">
        <v>129.47999999999999</v>
      </c>
      <c r="D3">
        <v>8.24</v>
      </c>
    </row>
    <row r="4" spans="1:4" ht="15" x14ac:dyDescent="0.25">
      <c r="A4" t="s">
        <v>40</v>
      </c>
      <c r="B4">
        <f>133+149.1</f>
        <v>282.10000000000002</v>
      </c>
      <c r="C4">
        <v>61.8</v>
      </c>
      <c r="D4">
        <v>12.51</v>
      </c>
    </row>
    <row r="5" spans="1:4" ht="15" x14ac:dyDescent="0.25">
      <c r="A5" t="s">
        <v>38</v>
      </c>
      <c r="B5">
        <f>71.7+61.4+99.8</f>
        <v>232.89999999999998</v>
      </c>
      <c r="C5">
        <v>42.6</v>
      </c>
      <c r="D5">
        <v>7.69</v>
      </c>
    </row>
    <row r="7" spans="1:4" ht="15" x14ac:dyDescent="0.25">
      <c r="A7" t="s">
        <v>50</v>
      </c>
      <c r="B7">
        <f>SUM(B3:B5)</f>
        <v>883.6</v>
      </c>
      <c r="C7">
        <f>SUM(C3:C5)</f>
        <v>233.87999999999997</v>
      </c>
      <c r="D7">
        <f>SUM(D3:D5)</f>
        <v>28.44</v>
      </c>
    </row>
  </sheetData>
  <mergeCells count="1">
    <mergeCell ref="A1:D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D8" sqref="D8"/>
    </sheetView>
  </sheetViews>
  <sheetFormatPr defaultRowHeight="14.25" x14ac:dyDescent="0.45"/>
  <cols>
    <col min="4" max="4" width="10.73046875" bestFit="1" customWidth="1"/>
  </cols>
  <sheetData>
    <row r="1" spans="1:4" x14ac:dyDescent="0.45">
      <c r="A1" s="114" t="s">
        <v>104</v>
      </c>
      <c r="B1" s="114"/>
      <c r="C1" s="114"/>
      <c r="D1" s="114"/>
    </row>
    <row r="2" spans="1:4" x14ac:dyDescent="0.45">
      <c r="B2" t="s">
        <v>43</v>
      </c>
      <c r="C2" t="s">
        <v>59</v>
      </c>
      <c r="D2" t="s">
        <v>60</v>
      </c>
    </row>
    <row r="3" spans="1:4" ht="15" x14ac:dyDescent="0.25">
      <c r="A3" t="s">
        <v>51</v>
      </c>
      <c r="B3">
        <f>264.9+103.7</f>
        <v>368.59999999999997</v>
      </c>
      <c r="C3">
        <v>129.47999999999999</v>
      </c>
      <c r="D3">
        <v>8.24</v>
      </c>
    </row>
    <row r="4" spans="1:4" ht="15" x14ac:dyDescent="0.25">
      <c r="A4" t="s">
        <v>40</v>
      </c>
      <c r="B4">
        <f>133+149.1</f>
        <v>282.10000000000002</v>
      </c>
      <c r="C4">
        <v>61.8</v>
      </c>
      <c r="D4">
        <v>12.51</v>
      </c>
    </row>
    <row r="5" spans="1:4" ht="15" x14ac:dyDescent="0.25">
      <c r="A5" t="s">
        <v>38</v>
      </c>
      <c r="B5">
        <f>71.7+61.4+99.8</f>
        <v>232.89999999999998</v>
      </c>
      <c r="C5">
        <v>42.6</v>
      </c>
      <c r="D5">
        <v>7.69</v>
      </c>
    </row>
    <row r="7" spans="1:4" ht="15" x14ac:dyDescent="0.25">
      <c r="A7" t="s">
        <v>50</v>
      </c>
      <c r="B7">
        <f>SUM(B3:B5)</f>
        <v>883.6</v>
      </c>
      <c r="C7">
        <f>SUM(C3:C5)</f>
        <v>233.87999999999997</v>
      </c>
      <c r="D7">
        <f>SUM(D3:D5)</f>
        <v>28.44</v>
      </c>
    </row>
  </sheetData>
  <mergeCells count="1">
    <mergeCell ref="A1:D1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C9" sqref="C9"/>
    </sheetView>
  </sheetViews>
  <sheetFormatPr defaultRowHeight="14.25" x14ac:dyDescent="0.45"/>
  <cols>
    <col min="2" max="2" width="85.73046875" customWidth="1"/>
    <col min="9" max="9" width="10.59765625" bestFit="1" customWidth="1"/>
  </cols>
  <sheetData>
    <row r="1" spans="1:9" ht="15" customHeight="1" x14ac:dyDescent="0.45">
      <c r="A1" s="119" t="s">
        <v>20</v>
      </c>
      <c r="B1" s="117" t="s">
        <v>19</v>
      </c>
      <c r="C1" s="121" t="s">
        <v>18</v>
      </c>
      <c r="D1" s="123" t="s">
        <v>16</v>
      </c>
      <c r="E1" s="121" t="s">
        <v>17</v>
      </c>
      <c r="F1" s="115" t="s">
        <v>50</v>
      </c>
    </row>
    <row r="2" spans="1:9" x14ac:dyDescent="0.45">
      <c r="A2" s="120"/>
      <c r="B2" s="118"/>
      <c r="C2" s="122"/>
      <c r="D2" s="124"/>
      <c r="E2" s="122"/>
      <c r="F2" s="116"/>
    </row>
    <row r="3" spans="1:9" ht="15" customHeight="1" x14ac:dyDescent="0.45">
      <c r="A3" s="35" t="s">
        <v>22</v>
      </c>
      <c r="B3" s="36" t="s">
        <v>23</v>
      </c>
      <c r="C3" s="37"/>
      <c r="D3" s="38"/>
      <c r="E3" s="37"/>
      <c r="F3" s="39"/>
    </row>
    <row r="4" spans="1:9" ht="23.65" thickBot="1" x14ac:dyDescent="0.5">
      <c r="A4" s="40" t="s">
        <v>87</v>
      </c>
      <c r="B4" s="41" t="s">
        <v>93</v>
      </c>
      <c r="C4" s="42">
        <v>265.55151023330211</v>
      </c>
      <c r="D4" s="43" t="s">
        <v>26</v>
      </c>
      <c r="E4" s="44">
        <f>(26.31*1.2592)*(1-G4)</f>
        <v>30.267158707200004</v>
      </c>
      <c r="F4" s="45">
        <f>E4*C4</f>
        <v>8037.4897051680009</v>
      </c>
      <c r="G4" s="34">
        <v>8.6400000000000005E-2</v>
      </c>
    </row>
    <row r="7" spans="1:9" x14ac:dyDescent="0.45">
      <c r="C7" t="s">
        <v>88</v>
      </c>
      <c r="F7" t="s">
        <v>92</v>
      </c>
      <c r="G7" s="31" t="s">
        <v>90</v>
      </c>
      <c r="H7" s="31" t="s">
        <v>25</v>
      </c>
      <c r="I7" t="s">
        <v>91</v>
      </c>
    </row>
    <row r="8" spans="1:9" x14ac:dyDescent="0.45">
      <c r="C8" t="e">
        <f>F4*G8/I8</f>
        <v>#REF!</v>
      </c>
      <c r="F8" t="s">
        <v>89</v>
      </c>
      <c r="G8">
        <v>200</v>
      </c>
      <c r="H8" t="s">
        <v>24</v>
      </c>
      <c r="I8" s="46" t="e">
        <f>#REF!</f>
        <v>#REF!</v>
      </c>
    </row>
  </sheetData>
  <mergeCells count="6">
    <mergeCell ref="F1:F2"/>
    <mergeCell ref="B1:B2"/>
    <mergeCell ref="A1:A2"/>
    <mergeCell ref="C1:C2"/>
    <mergeCell ref="D1:D2"/>
    <mergeCell ref="E1:E2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"/>
  <sheetViews>
    <sheetView showGridLines="0" view="pageBreakPreview" zoomScale="60" zoomScaleNormal="115" workbookViewId="0">
      <selection activeCell="I17" sqref="I17"/>
    </sheetView>
  </sheetViews>
  <sheetFormatPr defaultColWidth="9.1328125" defaultRowHeight="11.65" x14ac:dyDescent="0.45"/>
  <cols>
    <col min="1" max="1" width="3.59765625" style="2" bestFit="1" customWidth="1"/>
    <col min="2" max="2" width="12.265625" style="2" bestFit="1" customWidth="1"/>
    <col min="3" max="3" width="8.265625" style="2" bestFit="1" customWidth="1"/>
    <col min="4" max="4" width="12.265625" style="2" bestFit="1" customWidth="1"/>
    <col min="5" max="5" width="8.265625" style="2" bestFit="1" customWidth="1"/>
    <col min="6" max="6" width="17.86328125" style="2" bestFit="1" customWidth="1"/>
    <col min="7" max="7" width="6" style="2" bestFit="1" customWidth="1"/>
    <col min="8" max="8" width="12.265625" style="2" bestFit="1" customWidth="1"/>
    <col min="9" max="9" width="7" style="2" bestFit="1" customWidth="1"/>
    <col min="10" max="12" width="16.265625" style="2" bestFit="1" customWidth="1"/>
    <col min="13" max="15" width="18.265625" style="2" bestFit="1" customWidth="1"/>
    <col min="16" max="18" width="9.265625" style="2" bestFit="1" customWidth="1"/>
    <col min="19" max="19" width="9.86328125" style="2" bestFit="1" customWidth="1"/>
    <col min="20" max="20" width="9.265625" style="2" bestFit="1" customWidth="1"/>
    <col min="21" max="21" width="9.86328125" style="2" bestFit="1" customWidth="1"/>
    <col min="22" max="22" width="9.265625" style="2" bestFit="1" customWidth="1"/>
    <col min="23" max="23" width="9.86328125" style="2" bestFit="1" customWidth="1"/>
    <col min="24" max="24" width="9.265625" style="2" bestFit="1" customWidth="1"/>
    <col min="25" max="25" width="9.86328125" style="2" bestFit="1" customWidth="1"/>
    <col min="26" max="26" width="9.265625" style="2" bestFit="1" customWidth="1"/>
    <col min="27" max="27" width="9.86328125" style="2" bestFit="1" customWidth="1"/>
    <col min="28" max="28" width="9.265625" style="2" bestFit="1" customWidth="1"/>
    <col min="29" max="29" width="9.86328125" style="2" bestFit="1" customWidth="1"/>
    <col min="30" max="30" width="9.265625" style="2" bestFit="1" customWidth="1"/>
    <col min="31" max="31" width="9.86328125" style="2" bestFit="1" customWidth="1"/>
    <col min="32" max="32" width="9.265625" style="2" bestFit="1" customWidth="1"/>
    <col min="33" max="16384" width="9.1328125" style="2"/>
  </cols>
  <sheetData>
    <row r="1" spans="1:32" x14ac:dyDescent="0.45">
      <c r="A1" s="18"/>
      <c r="B1" s="125" t="s">
        <v>14</v>
      </c>
      <c r="C1" s="126"/>
      <c r="D1" s="127" t="s">
        <v>3</v>
      </c>
      <c r="E1" s="128"/>
      <c r="F1" s="125" t="s">
        <v>0</v>
      </c>
      <c r="G1" s="126"/>
      <c r="H1" s="127" t="s">
        <v>15</v>
      </c>
      <c r="I1" s="128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</row>
    <row r="2" spans="1:32" ht="12.75" thickBot="1" x14ac:dyDescent="0.3">
      <c r="A2" s="19"/>
      <c r="B2" s="4" t="s">
        <v>2</v>
      </c>
      <c r="C2" s="3" t="s">
        <v>1</v>
      </c>
      <c r="D2" s="3" t="s">
        <v>2</v>
      </c>
      <c r="E2" s="5" t="s">
        <v>1</v>
      </c>
      <c r="F2" s="4" t="s">
        <v>2</v>
      </c>
      <c r="G2" s="3" t="s">
        <v>1</v>
      </c>
      <c r="H2" s="3" t="s">
        <v>2</v>
      </c>
      <c r="I2" s="5" t="s">
        <v>1</v>
      </c>
    </row>
    <row r="3" spans="1:32" x14ac:dyDescent="0.45">
      <c r="A3" s="11" t="s">
        <v>4</v>
      </c>
      <c r="B3" s="6" t="e">
        <f>#REF!</f>
        <v>#REF!</v>
      </c>
      <c r="C3" s="12" t="e">
        <f>B3/$H$12</f>
        <v>#REF!</v>
      </c>
      <c r="D3" s="1" t="e">
        <f>B3</f>
        <v>#REF!</v>
      </c>
      <c r="E3" s="20" t="e">
        <f>D3/$H$12</f>
        <v>#REF!</v>
      </c>
      <c r="F3" s="1">
        <v>123934.39</v>
      </c>
      <c r="G3" s="12">
        <f t="shared" ref="G3:G12" si="0">F3/$H$12</f>
        <v>1.151535250806927E-2</v>
      </c>
      <c r="H3" s="1">
        <f>F3</f>
        <v>123934.39</v>
      </c>
      <c r="I3" s="13">
        <f>H3/$H$12</f>
        <v>1.151535250806927E-2</v>
      </c>
      <c r="M3" s="16"/>
    </row>
    <row r="4" spans="1:32" x14ac:dyDescent="0.45">
      <c r="A4" s="9" t="s">
        <v>5</v>
      </c>
      <c r="B4" s="6">
        <v>172365.37519332499</v>
      </c>
      <c r="C4" s="12">
        <f t="shared" ref="C4" si="1">B4/$H$12</f>
        <v>1.6015313066347087E-2</v>
      </c>
      <c r="D4" s="1" t="e">
        <f t="shared" ref="D4:D10" si="2">B4+D3</f>
        <v>#REF!</v>
      </c>
      <c r="E4" s="20" t="e">
        <f t="shared" ref="E4" si="3">D4/$H$12</f>
        <v>#REF!</v>
      </c>
      <c r="F4" s="1">
        <v>378340.80114834802</v>
      </c>
      <c r="G4" s="12">
        <f t="shared" si="0"/>
        <v>3.5153500924227456E-2</v>
      </c>
      <c r="H4" s="1">
        <f>F4+H3</f>
        <v>502275.19114834804</v>
      </c>
      <c r="I4" s="13">
        <f t="shared" ref="I4:I12" si="4">H4/$H$12</f>
        <v>4.6668853432296729E-2</v>
      </c>
      <c r="J4" s="17"/>
      <c r="M4" s="16">
        <v>50339.983765462704</v>
      </c>
    </row>
    <row r="5" spans="1:32" x14ac:dyDescent="0.45">
      <c r="A5" s="9" t="s">
        <v>6</v>
      </c>
      <c r="B5" s="6">
        <v>142583.9017237667</v>
      </c>
      <c r="C5" s="12">
        <f t="shared" ref="C5:C10" si="5">B5/$H$12</f>
        <v>1.3248170183635706E-2</v>
      </c>
      <c r="D5" s="1" t="e">
        <f t="shared" si="2"/>
        <v>#REF!</v>
      </c>
      <c r="E5" s="20" t="e">
        <f t="shared" ref="E5" si="6">D5/$H$12</f>
        <v>#REF!</v>
      </c>
      <c r="F5" s="1">
        <f>912527.70398237+M5</f>
        <v>913031.10382002464</v>
      </c>
      <c r="G5" s="12">
        <f t="shared" si="0"/>
        <v>8.4834201478049598E-2</v>
      </c>
      <c r="H5" s="1">
        <f t="shared" ref="H5:H12" si="7">F5+H4</f>
        <v>1415306.2949683727</v>
      </c>
      <c r="I5" s="13">
        <f t="shared" si="4"/>
        <v>0.13150305491034633</v>
      </c>
      <c r="J5" s="27"/>
      <c r="L5" s="29">
        <v>0.01</v>
      </c>
      <c r="M5" s="48">
        <f>L5*$M$4</f>
        <v>503.39983765462705</v>
      </c>
    </row>
    <row r="6" spans="1:32" x14ac:dyDescent="0.45">
      <c r="A6" s="9" t="s">
        <v>7</v>
      </c>
      <c r="B6" s="6">
        <v>421359.98216333898</v>
      </c>
      <c r="C6" s="12">
        <f t="shared" si="5"/>
        <v>3.9150624192402353E-2</v>
      </c>
      <c r="D6" s="1" t="e">
        <f t="shared" si="2"/>
        <v>#REF!</v>
      </c>
      <c r="E6" s="20" t="e">
        <f t="shared" ref="E6" si="8">D6/$H$12</f>
        <v>#REF!</v>
      </c>
      <c r="F6" s="1">
        <f>1172366.45881959+M6</f>
        <v>1175638.5577643451</v>
      </c>
      <c r="G6" s="12">
        <f t="shared" si="0"/>
        <v>0.10923434903528061</v>
      </c>
      <c r="H6" s="1">
        <f t="shared" si="7"/>
        <v>2590944.852732718</v>
      </c>
      <c r="I6" s="13">
        <f t="shared" si="4"/>
        <v>0.24073740394562695</v>
      </c>
      <c r="J6" s="28"/>
      <c r="K6" s="29">
        <f>I5+J6</f>
        <v>0.13150305491034633</v>
      </c>
      <c r="L6" s="29">
        <v>6.5000000000000002E-2</v>
      </c>
      <c r="M6" s="48">
        <f t="shared" ref="M6:M12" si="9">L6*$M$4</f>
        <v>3272.098944755076</v>
      </c>
    </row>
    <row r="7" spans="1:32" x14ac:dyDescent="0.45">
      <c r="A7" s="9" t="s">
        <v>8</v>
      </c>
      <c r="B7" s="6">
        <v>371682.24473407556</v>
      </c>
      <c r="C7" s="12">
        <f t="shared" si="5"/>
        <v>3.4534821764187915E-2</v>
      </c>
      <c r="D7" s="1" t="e">
        <f t="shared" si="2"/>
        <v>#REF!</v>
      </c>
      <c r="E7" s="13" t="e">
        <f t="shared" ref="E7:E10" si="10">D7/$H$12</f>
        <v>#REF!</v>
      </c>
      <c r="F7" s="1">
        <f>1150143.7468537+M7</f>
        <v>1153415.8457984549</v>
      </c>
      <c r="G7" s="12">
        <f t="shared" si="0"/>
        <v>0.10716952778613004</v>
      </c>
      <c r="H7" s="1">
        <f t="shared" si="7"/>
        <v>3744360.6985311732</v>
      </c>
      <c r="I7" s="20">
        <f t="shared" si="4"/>
        <v>0.34790693173175702</v>
      </c>
      <c r="J7" s="17">
        <f>I8+J9</f>
        <v>0.54937334419614603</v>
      </c>
      <c r="K7" s="27">
        <f>I6+J8</f>
        <v>0.24529643675377025</v>
      </c>
      <c r="L7" s="29">
        <v>6.5000000000000002E-2</v>
      </c>
      <c r="M7" s="48">
        <f t="shared" si="9"/>
        <v>3272.098944755076</v>
      </c>
    </row>
    <row r="8" spans="1:32" x14ac:dyDescent="0.45">
      <c r="A8" s="9" t="s">
        <v>9</v>
      </c>
      <c r="B8" s="6">
        <v>446617.72656444501</v>
      </c>
      <c r="C8" s="12">
        <f t="shared" si="5"/>
        <v>4.1497445202595316E-2</v>
      </c>
      <c r="D8" s="1" t="e">
        <f t="shared" si="2"/>
        <v>#REF!</v>
      </c>
      <c r="E8" s="20" t="e">
        <f t="shared" si="10"/>
        <v>#REF!</v>
      </c>
      <c r="F8" s="1">
        <f>1465961.77331005+M8</f>
        <v>1472002.5713619054</v>
      </c>
      <c r="G8" s="12">
        <f t="shared" si="0"/>
        <v>0.1367709842442984</v>
      </c>
      <c r="H8" s="1">
        <f t="shared" si="7"/>
        <v>5216363.2698930781</v>
      </c>
      <c r="I8" s="13">
        <f t="shared" si="4"/>
        <v>0.48467791597605536</v>
      </c>
      <c r="J8" s="28">
        <f>G8/30</f>
        <v>4.5590328081432799E-3</v>
      </c>
      <c r="L8" s="29">
        <v>0.12</v>
      </c>
      <c r="M8" s="48">
        <f t="shared" si="9"/>
        <v>6040.7980518555241</v>
      </c>
    </row>
    <row r="9" spans="1:32" x14ac:dyDescent="0.45">
      <c r="A9" s="9" t="s">
        <v>10</v>
      </c>
      <c r="B9" s="6" t="e">
        <f>#REF!</f>
        <v>#REF!</v>
      </c>
      <c r="C9" s="12" t="e">
        <f t="shared" si="5"/>
        <v>#REF!</v>
      </c>
      <c r="D9" s="1" t="e">
        <f t="shared" si="2"/>
        <v>#REF!</v>
      </c>
      <c r="E9" s="20" t="e">
        <f t="shared" si="10"/>
        <v>#REF!</v>
      </c>
      <c r="F9" s="1">
        <f>1386532.88592824+M9</f>
        <v>1392573.6839800954</v>
      </c>
      <c r="G9" s="12">
        <f t="shared" si="0"/>
        <v>0.12939085644018142</v>
      </c>
      <c r="H9" s="1">
        <f t="shared" si="7"/>
        <v>6608936.9538731733</v>
      </c>
      <c r="I9" s="13">
        <f t="shared" si="4"/>
        <v>0.6140687724162367</v>
      </c>
      <c r="J9" s="28">
        <f>G9/2</f>
        <v>6.4695428220090709E-2</v>
      </c>
      <c r="K9" s="27">
        <f>J9+I6</f>
        <v>0.30543283216571765</v>
      </c>
      <c r="L9" s="29">
        <v>0.12</v>
      </c>
      <c r="M9" s="48">
        <f t="shared" si="9"/>
        <v>6040.7980518555241</v>
      </c>
    </row>
    <row r="10" spans="1:32" x14ac:dyDescent="0.45">
      <c r="A10" s="9" t="s">
        <v>11</v>
      </c>
      <c r="B10" s="6" t="e">
        <f>#REF!</f>
        <v>#REF!</v>
      </c>
      <c r="C10" s="12" t="e">
        <f t="shared" si="5"/>
        <v>#REF!</v>
      </c>
      <c r="D10" s="1" t="e">
        <f t="shared" si="2"/>
        <v>#REF!</v>
      </c>
      <c r="E10" s="20" t="e">
        <f t="shared" si="10"/>
        <v>#REF!</v>
      </c>
      <c r="F10" s="1">
        <f>1249561.8424706+M10</f>
        <v>1258874.7394672106</v>
      </c>
      <c r="G10" s="12">
        <f t="shared" si="0"/>
        <v>0.11696823124290838</v>
      </c>
      <c r="H10" s="1">
        <f t="shared" si="7"/>
        <v>7867811.6933403835</v>
      </c>
      <c r="I10" s="13">
        <f t="shared" si="4"/>
        <v>0.73103700365914503</v>
      </c>
      <c r="J10" s="17">
        <f>J9+I8</f>
        <v>0.54937334419614603</v>
      </c>
      <c r="L10" s="29">
        <v>0.185</v>
      </c>
      <c r="M10" s="48">
        <f t="shared" si="9"/>
        <v>9312.8969966105997</v>
      </c>
    </row>
    <row r="11" spans="1:32" x14ac:dyDescent="0.45">
      <c r="A11" s="9" t="s">
        <v>12</v>
      </c>
      <c r="B11" s="6"/>
      <c r="C11" s="12"/>
      <c r="D11" s="1"/>
      <c r="E11" s="20"/>
      <c r="F11" s="1">
        <f>1558272.52696847+M11</f>
        <v>1570605.8229910084</v>
      </c>
      <c r="G11" s="12">
        <f t="shared" si="0"/>
        <v>0.1459326963481864</v>
      </c>
      <c r="H11" s="1">
        <f t="shared" si="7"/>
        <v>9438417.5163313914</v>
      </c>
      <c r="I11" s="20">
        <f t="shared" si="4"/>
        <v>0.87696970000733143</v>
      </c>
      <c r="J11" s="29"/>
      <c r="L11" s="29">
        <v>0.245</v>
      </c>
      <c r="M11" s="48">
        <f t="shared" si="9"/>
        <v>12333.296022538363</v>
      </c>
    </row>
    <row r="12" spans="1:32" ht="12" thickBot="1" x14ac:dyDescent="0.5">
      <c r="A12" s="10" t="s">
        <v>13</v>
      </c>
      <c r="B12" s="7"/>
      <c r="C12" s="14"/>
      <c r="D12" s="8"/>
      <c r="E12" s="21"/>
      <c r="F12" s="8">
        <f>1314553.37258864+M12</f>
        <v>1324117.9695040779</v>
      </c>
      <c r="G12" s="14">
        <f t="shared" si="0"/>
        <v>0.12303029999266848</v>
      </c>
      <c r="H12" s="8">
        <f t="shared" si="7"/>
        <v>10762535.48583547</v>
      </c>
      <c r="I12" s="15">
        <f t="shared" si="4"/>
        <v>1</v>
      </c>
      <c r="J12" s="47">
        <v>44281</v>
      </c>
      <c r="K12" s="47">
        <v>44287</v>
      </c>
      <c r="L12" s="29">
        <v>0.19</v>
      </c>
      <c r="M12" s="48">
        <f t="shared" si="9"/>
        <v>9564.5969154379145</v>
      </c>
    </row>
  </sheetData>
  <mergeCells count="4">
    <mergeCell ref="B1:C1"/>
    <mergeCell ref="D1:E1"/>
    <mergeCell ref="F1:G1"/>
    <mergeCell ref="H1:I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9" sqref="E19"/>
    </sheetView>
  </sheetViews>
  <sheetFormatPr defaultRowHeight="14.25" x14ac:dyDescent="0.45"/>
  <sheetData/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5"/>
  <sheetViews>
    <sheetView topLeftCell="A17" zoomScale="70" zoomScaleNormal="70" workbookViewId="0">
      <selection activeCell="D45" sqref="D45"/>
    </sheetView>
  </sheetViews>
  <sheetFormatPr defaultRowHeight="14.25" x14ac:dyDescent="0.45"/>
  <cols>
    <col min="7" max="7" width="10.73046875" bestFit="1" customWidth="1"/>
    <col min="17" max="17" width="10.73046875" bestFit="1" customWidth="1"/>
  </cols>
  <sheetData>
    <row r="1" spans="1:33" x14ac:dyDescent="0.45">
      <c r="A1" s="114" t="s">
        <v>40</v>
      </c>
      <c r="B1" s="114"/>
      <c r="C1" s="114"/>
      <c r="D1" s="114"/>
      <c r="E1" s="114"/>
      <c r="K1" s="114" t="s">
        <v>100</v>
      </c>
      <c r="L1" s="114"/>
      <c r="M1" s="114"/>
      <c r="N1" s="114"/>
      <c r="O1" s="114"/>
      <c r="U1" s="129" t="s">
        <v>98</v>
      </c>
      <c r="V1" s="129"/>
      <c r="W1" s="129"/>
      <c r="X1" s="129"/>
      <c r="Y1" s="129"/>
      <c r="AE1" s="114" t="s">
        <v>99</v>
      </c>
      <c r="AF1" s="114"/>
      <c r="AG1" s="114"/>
    </row>
    <row r="2" spans="1:33" x14ac:dyDescent="0.45">
      <c r="A2" s="49" t="s">
        <v>54</v>
      </c>
      <c r="B2" s="49" t="s">
        <v>33</v>
      </c>
      <c r="C2" t="s">
        <v>32</v>
      </c>
      <c r="D2" t="s">
        <v>31</v>
      </c>
      <c r="E2" t="s">
        <v>34</v>
      </c>
      <c r="K2" s="49" t="s">
        <v>54</v>
      </c>
      <c r="L2" s="49" t="s">
        <v>33</v>
      </c>
      <c r="M2" t="s">
        <v>32</v>
      </c>
      <c r="N2" t="s">
        <v>31</v>
      </c>
      <c r="O2" t="s">
        <v>34</v>
      </c>
      <c r="U2" s="49" t="s">
        <v>54</v>
      </c>
      <c r="V2" s="49" t="s">
        <v>33</v>
      </c>
      <c r="W2" t="s">
        <v>32</v>
      </c>
      <c r="X2" t="s">
        <v>31</v>
      </c>
      <c r="Y2" t="s">
        <v>34</v>
      </c>
      <c r="AE2" t="s">
        <v>44</v>
      </c>
      <c r="AF2">
        <v>15.3</v>
      </c>
    </row>
    <row r="3" spans="1:33" ht="15" x14ac:dyDescent="0.25">
      <c r="A3">
        <v>1</v>
      </c>
      <c r="B3" s="49" t="s">
        <v>29</v>
      </c>
      <c r="C3">
        <v>143</v>
      </c>
      <c r="D3">
        <v>75</v>
      </c>
      <c r="E3">
        <f t="shared" ref="E3:E8" si="0">D3*C3</f>
        <v>10725</v>
      </c>
      <c r="K3">
        <v>1</v>
      </c>
      <c r="L3" s="49" t="s">
        <v>29</v>
      </c>
      <c r="M3">
        <v>250</v>
      </c>
      <c r="N3">
        <v>95</v>
      </c>
      <c r="O3">
        <f t="shared" ref="O3:O17" si="1">N3*M3</f>
        <v>23750</v>
      </c>
      <c r="U3">
        <v>1</v>
      </c>
      <c r="V3" s="49" t="s">
        <v>29</v>
      </c>
      <c r="W3">
        <f>40*2+15*2</f>
        <v>110</v>
      </c>
      <c r="X3">
        <v>95</v>
      </c>
      <c r="Y3">
        <f t="shared" ref="Y3:Y6" si="2">X3*W3</f>
        <v>10450</v>
      </c>
    </row>
    <row r="4" spans="1:33" ht="15" x14ac:dyDescent="0.25">
      <c r="A4">
        <v>2</v>
      </c>
      <c r="B4" s="49" t="s">
        <v>29</v>
      </c>
      <c r="C4">
        <v>8</v>
      </c>
      <c r="D4">
        <v>23</v>
      </c>
      <c r="E4">
        <f t="shared" si="0"/>
        <v>184</v>
      </c>
      <c r="K4">
        <v>2</v>
      </c>
      <c r="L4" s="49" t="s">
        <v>46</v>
      </c>
      <c r="M4">
        <v>3</v>
      </c>
      <c r="N4">
        <v>73</v>
      </c>
      <c r="O4">
        <f t="shared" si="1"/>
        <v>219</v>
      </c>
      <c r="U4">
        <v>2</v>
      </c>
      <c r="V4" s="49" t="s">
        <v>46</v>
      </c>
      <c r="W4">
        <v>3</v>
      </c>
      <c r="X4">
        <v>73</v>
      </c>
      <c r="Y4">
        <f t="shared" si="2"/>
        <v>219</v>
      </c>
    </row>
    <row r="5" spans="1:33" ht="15" x14ac:dyDescent="0.25">
      <c r="A5">
        <v>3</v>
      </c>
      <c r="B5" s="49" t="s">
        <v>30</v>
      </c>
      <c r="C5">
        <v>24</v>
      </c>
      <c r="D5">
        <v>230</v>
      </c>
      <c r="E5">
        <f t="shared" si="0"/>
        <v>5520</v>
      </c>
      <c r="K5">
        <v>3</v>
      </c>
      <c r="L5" s="49" t="s">
        <v>39</v>
      </c>
      <c r="M5">
        <v>6</v>
      </c>
      <c r="N5">
        <v>888</v>
      </c>
      <c r="O5">
        <f t="shared" si="1"/>
        <v>5328</v>
      </c>
      <c r="U5">
        <v>3</v>
      </c>
      <c r="V5" s="49" t="s">
        <v>39</v>
      </c>
      <c r="W5">
        <v>3</v>
      </c>
      <c r="X5">
        <v>888</v>
      </c>
      <c r="Y5">
        <f t="shared" si="2"/>
        <v>2664</v>
      </c>
    </row>
    <row r="6" spans="1:33" ht="15" x14ac:dyDescent="0.25">
      <c r="A6">
        <v>4</v>
      </c>
      <c r="B6" s="49" t="s">
        <v>30</v>
      </c>
      <c r="C6">
        <v>20</v>
      </c>
      <c r="D6">
        <v>92</v>
      </c>
      <c r="E6">
        <f t="shared" si="0"/>
        <v>1840</v>
      </c>
      <c r="K6">
        <v>4</v>
      </c>
      <c r="L6" s="49" t="s">
        <v>39</v>
      </c>
      <c r="M6">
        <v>4</v>
      </c>
      <c r="N6">
        <v>888</v>
      </c>
      <c r="O6">
        <f t="shared" si="1"/>
        <v>3552</v>
      </c>
      <c r="U6">
        <v>4</v>
      </c>
      <c r="V6" s="49" t="s">
        <v>39</v>
      </c>
      <c r="W6">
        <v>1</v>
      </c>
      <c r="X6">
        <v>911</v>
      </c>
      <c r="Y6">
        <f t="shared" si="2"/>
        <v>911</v>
      </c>
    </row>
    <row r="7" spans="1:33" ht="15" x14ac:dyDescent="0.25">
      <c r="A7">
        <v>5</v>
      </c>
      <c r="B7" s="49" t="s">
        <v>30</v>
      </c>
      <c r="C7">
        <v>4</v>
      </c>
      <c r="D7">
        <v>50</v>
      </c>
      <c r="E7">
        <f t="shared" si="0"/>
        <v>200</v>
      </c>
      <c r="K7">
        <v>5</v>
      </c>
      <c r="L7" s="49" t="s">
        <v>39</v>
      </c>
      <c r="M7">
        <v>2</v>
      </c>
      <c r="N7">
        <v>911</v>
      </c>
      <c r="O7">
        <f t="shared" si="1"/>
        <v>1822</v>
      </c>
      <c r="U7">
        <v>6</v>
      </c>
      <c r="V7" s="49" t="s">
        <v>39</v>
      </c>
      <c r="W7">
        <v>2</v>
      </c>
      <c r="X7">
        <v>334</v>
      </c>
      <c r="Y7">
        <f>X7*W7</f>
        <v>668</v>
      </c>
    </row>
    <row r="8" spans="1:33" ht="15" x14ac:dyDescent="0.25">
      <c r="A8">
        <v>6</v>
      </c>
      <c r="B8" s="49" t="s">
        <v>55</v>
      </c>
      <c r="C8">
        <v>4</v>
      </c>
      <c r="D8">
        <v>100</v>
      </c>
      <c r="E8">
        <f t="shared" si="0"/>
        <v>400</v>
      </c>
      <c r="K8">
        <v>6</v>
      </c>
      <c r="L8" s="49" t="s">
        <v>39</v>
      </c>
      <c r="M8">
        <v>2</v>
      </c>
      <c r="N8">
        <v>334</v>
      </c>
      <c r="O8">
        <f t="shared" si="1"/>
        <v>668</v>
      </c>
      <c r="U8">
        <v>7</v>
      </c>
      <c r="V8" s="49" t="s">
        <v>39</v>
      </c>
      <c r="W8">
        <v>2</v>
      </c>
      <c r="X8">
        <v>357</v>
      </c>
      <c r="Y8">
        <f>X8*W8</f>
        <v>714</v>
      </c>
    </row>
    <row r="9" spans="1:33" ht="15" x14ac:dyDescent="0.25">
      <c r="B9" s="49"/>
      <c r="K9">
        <v>7</v>
      </c>
      <c r="L9" s="49" t="s">
        <v>39</v>
      </c>
      <c r="M9">
        <v>2</v>
      </c>
      <c r="N9">
        <v>357</v>
      </c>
      <c r="O9">
        <f t="shared" si="1"/>
        <v>714</v>
      </c>
      <c r="U9">
        <v>8</v>
      </c>
      <c r="V9" s="49" t="s">
        <v>39</v>
      </c>
      <c r="W9">
        <v>2</v>
      </c>
      <c r="X9">
        <v>333</v>
      </c>
      <c r="Y9">
        <f>X9*W9</f>
        <v>666</v>
      </c>
    </row>
    <row r="10" spans="1:33" ht="15" x14ac:dyDescent="0.25">
      <c r="B10" s="49"/>
      <c r="K10">
        <v>8</v>
      </c>
      <c r="L10" s="49" t="s">
        <v>39</v>
      </c>
      <c r="M10">
        <v>4</v>
      </c>
      <c r="N10">
        <v>333</v>
      </c>
      <c r="O10">
        <f t="shared" si="1"/>
        <v>1332</v>
      </c>
      <c r="V10" s="49"/>
    </row>
    <row r="11" spans="1:33" ht="15" x14ac:dyDescent="0.25">
      <c r="A11" s="49" t="s">
        <v>33</v>
      </c>
      <c r="B11" s="49"/>
      <c r="C11" t="s">
        <v>35</v>
      </c>
      <c r="D11" t="s">
        <v>36</v>
      </c>
      <c r="G11" t="s">
        <v>59</v>
      </c>
      <c r="H11">
        <v>14.41</v>
      </c>
      <c r="I11" t="s">
        <v>96</v>
      </c>
      <c r="K11">
        <v>9</v>
      </c>
      <c r="L11" s="49" t="s">
        <v>39</v>
      </c>
      <c r="M11">
        <v>8</v>
      </c>
      <c r="N11">
        <v>379</v>
      </c>
      <c r="O11">
        <f t="shared" si="1"/>
        <v>3032</v>
      </c>
      <c r="V11" s="49"/>
    </row>
    <row r="12" spans="1:33" ht="15" x14ac:dyDescent="0.25">
      <c r="A12" s="49" t="s">
        <v>29</v>
      </c>
      <c r="B12" s="49"/>
      <c r="C12">
        <f>(E3+E4)/100</f>
        <v>109.09</v>
      </c>
      <c r="D12">
        <f>C12*B16*1.1</f>
        <v>18.495972613620342</v>
      </c>
      <c r="G12" t="s">
        <v>60</v>
      </c>
      <c r="H12">
        <v>0.69</v>
      </c>
      <c r="I12" t="s">
        <v>94</v>
      </c>
      <c r="K12">
        <v>10</v>
      </c>
      <c r="L12" s="49" t="s">
        <v>39</v>
      </c>
      <c r="M12">
        <v>1</v>
      </c>
      <c r="N12">
        <v>220</v>
      </c>
      <c r="O12">
        <f t="shared" si="1"/>
        <v>220</v>
      </c>
      <c r="V12" s="49"/>
    </row>
    <row r="13" spans="1:33" ht="15" x14ac:dyDescent="0.25">
      <c r="A13" s="49">
        <v>10</v>
      </c>
      <c r="B13" s="49"/>
      <c r="C13">
        <f>(E5+E6+E7)/100</f>
        <v>75.599999999999994</v>
      </c>
      <c r="D13">
        <f>C13*B19*1.1</f>
        <v>51.271263345483462</v>
      </c>
      <c r="K13">
        <v>11</v>
      </c>
      <c r="L13" s="49" t="s">
        <v>39</v>
      </c>
      <c r="M13">
        <v>2</v>
      </c>
      <c r="N13">
        <v>934</v>
      </c>
      <c r="O13">
        <f t="shared" si="1"/>
        <v>1868</v>
      </c>
      <c r="V13" s="49"/>
    </row>
    <row r="14" spans="1:33" ht="15" x14ac:dyDescent="0.25">
      <c r="A14" s="49" t="s">
        <v>55</v>
      </c>
      <c r="C14">
        <f>E8/100</f>
        <v>4</v>
      </c>
      <c r="D14">
        <f>C14*B20*1.1</f>
        <v>4.2386957130856047</v>
      </c>
      <c r="K14">
        <v>12</v>
      </c>
      <c r="L14" s="49" t="s">
        <v>39</v>
      </c>
      <c r="M14">
        <v>2</v>
      </c>
      <c r="N14">
        <v>342</v>
      </c>
      <c r="O14">
        <f t="shared" si="1"/>
        <v>684</v>
      </c>
      <c r="V14" s="49"/>
    </row>
    <row r="15" spans="1:33" ht="15" x14ac:dyDescent="0.25">
      <c r="B15" s="49"/>
      <c r="K15">
        <v>13</v>
      </c>
      <c r="L15" s="49" t="s">
        <v>39</v>
      </c>
      <c r="M15">
        <v>2</v>
      </c>
      <c r="N15">
        <v>380</v>
      </c>
      <c r="O15">
        <f t="shared" si="1"/>
        <v>760</v>
      </c>
      <c r="V15" s="49"/>
    </row>
    <row r="16" spans="1:33" ht="15" x14ac:dyDescent="0.25">
      <c r="A16">
        <v>5</v>
      </c>
      <c r="B16">
        <f>((A16/1000)^2*PI())/4*7850</f>
        <v>0.15413438956674921</v>
      </c>
      <c r="D16" t="s">
        <v>50</v>
      </c>
      <c r="E16">
        <f>SUM(D12:D14)</f>
        <v>74.005931672189405</v>
      </c>
      <c r="F16" t="s">
        <v>95</v>
      </c>
      <c r="K16">
        <v>14</v>
      </c>
      <c r="L16" s="49" t="s">
        <v>39</v>
      </c>
      <c r="M16">
        <v>4</v>
      </c>
      <c r="N16">
        <v>349</v>
      </c>
      <c r="O16">
        <f t="shared" si="1"/>
        <v>1396</v>
      </c>
      <c r="V16" s="49"/>
      <c r="AE16" t="s">
        <v>101</v>
      </c>
      <c r="AF16">
        <f>AF2+O27+E16</f>
        <v>235.46335614741488</v>
      </c>
    </row>
    <row r="17" spans="1:29" ht="15" x14ac:dyDescent="0.25">
      <c r="A17">
        <v>6.3</v>
      </c>
      <c r="B17">
        <f t="shared" ref="B17:B20" si="3">((A17/1000)^2*PI())/4*7850</f>
        <v>0.24470375687617107</v>
      </c>
      <c r="K17">
        <v>15</v>
      </c>
      <c r="L17" s="49" t="s">
        <v>30</v>
      </c>
      <c r="M17">
        <v>2</v>
      </c>
      <c r="N17">
        <v>923</v>
      </c>
      <c r="O17">
        <f t="shared" si="1"/>
        <v>1846</v>
      </c>
    </row>
    <row r="18" spans="1:29" ht="15" x14ac:dyDescent="0.25">
      <c r="A18">
        <v>8</v>
      </c>
      <c r="B18">
        <f t="shared" si="3"/>
        <v>0.39458403729087799</v>
      </c>
    </row>
    <row r="19" spans="1:29" ht="15" x14ac:dyDescent="0.25">
      <c r="A19">
        <v>10</v>
      </c>
      <c r="B19">
        <f t="shared" si="3"/>
        <v>0.61653755826699685</v>
      </c>
    </row>
    <row r="20" spans="1:29" ht="15" x14ac:dyDescent="0.25">
      <c r="A20">
        <v>12.5</v>
      </c>
      <c r="B20">
        <f t="shared" si="3"/>
        <v>0.96333993479218272</v>
      </c>
    </row>
    <row r="21" spans="1:29" ht="15" x14ac:dyDescent="0.25">
      <c r="K21" s="49" t="s">
        <v>33</v>
      </c>
      <c r="L21" s="49"/>
      <c r="M21" t="s">
        <v>35</v>
      </c>
      <c r="N21" t="s">
        <v>36</v>
      </c>
      <c r="Q21" t="s">
        <v>59</v>
      </c>
      <c r="R21">
        <v>52.75</v>
      </c>
      <c r="S21" t="s">
        <v>96</v>
      </c>
      <c r="U21" s="49" t="s">
        <v>33</v>
      </c>
      <c r="V21" s="49"/>
      <c r="W21" t="s">
        <v>35</v>
      </c>
      <c r="X21" t="s">
        <v>36</v>
      </c>
      <c r="AA21" t="s">
        <v>59</v>
      </c>
      <c r="AB21">
        <v>52.75</v>
      </c>
      <c r="AC21" t="s">
        <v>96</v>
      </c>
    </row>
    <row r="22" spans="1:29" ht="15" x14ac:dyDescent="0.25">
      <c r="K22" s="49" t="s">
        <v>29</v>
      </c>
      <c r="L22" s="49"/>
      <c r="M22">
        <f>(O3)/100</f>
        <v>237.5</v>
      </c>
      <c r="N22">
        <f>M22*L27*1.1</f>
        <v>40.267609274313237</v>
      </c>
      <c r="Q22" t="s">
        <v>60</v>
      </c>
      <c r="R22">
        <v>3.14</v>
      </c>
      <c r="S22" t="s">
        <v>94</v>
      </c>
      <c r="U22" s="49" t="s">
        <v>29</v>
      </c>
      <c r="V22" s="49"/>
      <c r="W22">
        <f>(Y3)/100</f>
        <v>104.5</v>
      </c>
      <c r="X22">
        <f>W22*V27*1.1</f>
        <v>17.717748080697824</v>
      </c>
      <c r="AA22" t="s">
        <v>60</v>
      </c>
      <c r="AB22">
        <v>3.14</v>
      </c>
      <c r="AC22" t="s">
        <v>94</v>
      </c>
    </row>
    <row r="23" spans="1:29" ht="15" x14ac:dyDescent="0.25">
      <c r="A23" s="129" t="s">
        <v>97</v>
      </c>
      <c r="B23" s="129"/>
      <c r="C23" s="129"/>
      <c r="D23" s="129"/>
      <c r="E23" s="129"/>
      <c r="K23" s="49" t="s">
        <v>46</v>
      </c>
      <c r="L23" s="49"/>
      <c r="M23">
        <f>(O4)/100</f>
        <v>2.19</v>
      </c>
      <c r="N23">
        <f>M23*L28*1.1</f>
        <v>0.58949135031469613</v>
      </c>
      <c r="U23" s="49" t="s">
        <v>46</v>
      </c>
      <c r="V23" s="49"/>
      <c r="W23">
        <f>(Y4)/100</f>
        <v>2.19</v>
      </c>
      <c r="X23">
        <f>W23*V28*1.1</f>
        <v>0.58949135031469613</v>
      </c>
    </row>
    <row r="24" spans="1:29" x14ac:dyDescent="0.45">
      <c r="A24" s="49" t="s">
        <v>54</v>
      </c>
      <c r="B24" s="49" t="s">
        <v>33</v>
      </c>
      <c r="C24" t="s">
        <v>32</v>
      </c>
      <c r="D24" t="s">
        <v>31</v>
      </c>
      <c r="E24" t="s">
        <v>34</v>
      </c>
      <c r="K24" s="49" t="s">
        <v>39</v>
      </c>
      <c r="M24">
        <f>SUM(O5:O16)/100</f>
        <v>213.76</v>
      </c>
      <c r="N24">
        <f>M24*L29*1.1</f>
        <v>92.780912192427891</v>
      </c>
      <c r="U24" s="49" t="s">
        <v>39</v>
      </c>
      <c r="W24">
        <f>SUM(Y5:Y9)/100</f>
        <v>56.23</v>
      </c>
      <c r="X24">
        <f>W24*V29*1.1</f>
        <v>24.406206458552674</v>
      </c>
    </row>
    <row r="25" spans="1:29" ht="15" x14ac:dyDescent="0.25">
      <c r="A25">
        <v>1</v>
      </c>
      <c r="B25" s="49" t="s">
        <v>29</v>
      </c>
      <c r="C25">
        <v>23</v>
      </c>
      <c r="D25">
        <v>75</v>
      </c>
      <c r="E25">
        <f t="shared" ref="E25:E30" si="4">D25*C25</f>
        <v>1725</v>
      </c>
      <c r="K25" s="49" t="s">
        <v>30</v>
      </c>
      <c r="L25" s="49"/>
      <c r="M25">
        <f>O17/100</f>
        <v>18.46</v>
      </c>
      <c r="N25">
        <f>M25*L30*1.1</f>
        <v>12.51941165816964</v>
      </c>
      <c r="U25" s="49" t="s">
        <v>30</v>
      </c>
      <c r="V25" s="49"/>
      <c r="W25">
        <f>Y16/100</f>
        <v>0</v>
      </c>
      <c r="X25">
        <f>W25*V30*1.1</f>
        <v>0</v>
      </c>
    </row>
    <row r="26" spans="1:29" ht="15" x14ac:dyDescent="0.25">
      <c r="A26">
        <v>2</v>
      </c>
      <c r="B26" s="49" t="s">
        <v>29</v>
      </c>
      <c r="C26">
        <v>8</v>
      </c>
      <c r="D26">
        <v>23</v>
      </c>
      <c r="E26">
        <f t="shared" si="4"/>
        <v>184</v>
      </c>
    </row>
    <row r="27" spans="1:29" ht="15" x14ac:dyDescent="0.25">
      <c r="A27">
        <v>3</v>
      </c>
      <c r="B27" s="49" t="s">
        <v>30</v>
      </c>
      <c r="C27">
        <v>24</v>
      </c>
      <c r="D27">
        <v>230</v>
      </c>
      <c r="E27">
        <f t="shared" si="4"/>
        <v>5520</v>
      </c>
      <c r="K27">
        <v>5</v>
      </c>
      <c r="L27">
        <f>((K27/1000)^2*PI())/4*7850</f>
        <v>0.15413438956674921</v>
      </c>
      <c r="N27" t="s">
        <v>50</v>
      </c>
      <c r="O27">
        <f>SUM(N22:N25)</f>
        <v>146.15742447522547</v>
      </c>
      <c r="P27" t="s">
        <v>95</v>
      </c>
      <c r="U27">
        <v>5</v>
      </c>
      <c r="V27">
        <f>((U27/1000)^2*PI())/4*7850</f>
        <v>0.15413438956674921</v>
      </c>
      <c r="X27" t="s">
        <v>50</v>
      </c>
      <c r="Y27">
        <f>SUM(X22:X25)</f>
        <v>42.713445889565193</v>
      </c>
      <c r="Z27" t="s">
        <v>95</v>
      </c>
    </row>
    <row r="28" spans="1:29" ht="15" x14ac:dyDescent="0.25">
      <c r="A28">
        <v>4</v>
      </c>
      <c r="B28" s="49" t="s">
        <v>30</v>
      </c>
      <c r="C28">
        <v>20</v>
      </c>
      <c r="D28">
        <v>92</v>
      </c>
      <c r="E28">
        <f t="shared" si="4"/>
        <v>1840</v>
      </c>
      <c r="K28">
        <v>6.3</v>
      </c>
      <c r="L28">
        <f t="shared" ref="L28:L31" si="5">((K28/1000)^2*PI())/4*7850</f>
        <v>0.24470375687617107</v>
      </c>
      <c r="U28">
        <v>6.3</v>
      </c>
      <c r="V28">
        <f t="shared" ref="V28:V31" si="6">((U28/1000)^2*PI())/4*7850</f>
        <v>0.24470375687617107</v>
      </c>
    </row>
    <row r="29" spans="1:29" ht="15" x14ac:dyDescent="0.25">
      <c r="A29">
        <v>5</v>
      </c>
      <c r="B29" s="49" t="s">
        <v>30</v>
      </c>
      <c r="C29">
        <v>4</v>
      </c>
      <c r="D29">
        <v>50</v>
      </c>
      <c r="E29">
        <f t="shared" si="4"/>
        <v>200</v>
      </c>
      <c r="K29">
        <v>8</v>
      </c>
      <c r="L29">
        <f t="shared" si="5"/>
        <v>0.39458403729087799</v>
      </c>
      <c r="U29">
        <v>8</v>
      </c>
      <c r="V29">
        <f t="shared" si="6"/>
        <v>0.39458403729087799</v>
      </c>
    </row>
    <row r="30" spans="1:29" ht="15" x14ac:dyDescent="0.25">
      <c r="A30">
        <v>6</v>
      </c>
      <c r="B30" s="49" t="s">
        <v>55</v>
      </c>
      <c r="C30">
        <v>4</v>
      </c>
      <c r="D30">
        <v>100</v>
      </c>
      <c r="E30">
        <f t="shared" si="4"/>
        <v>400</v>
      </c>
      <c r="K30">
        <v>10</v>
      </c>
      <c r="L30">
        <f t="shared" si="5"/>
        <v>0.61653755826699685</v>
      </c>
      <c r="U30">
        <v>10</v>
      </c>
      <c r="V30">
        <f t="shared" si="6"/>
        <v>0.61653755826699685</v>
      </c>
    </row>
    <row r="31" spans="1:29" ht="15" x14ac:dyDescent="0.25">
      <c r="B31" s="49"/>
      <c r="K31">
        <v>12.5</v>
      </c>
      <c r="L31">
        <f t="shared" si="5"/>
        <v>0.96333993479218272</v>
      </c>
      <c r="U31">
        <v>12.5</v>
      </c>
      <c r="V31">
        <f t="shared" si="6"/>
        <v>0.96333993479218272</v>
      </c>
      <c r="AA31" s="24">
        <f>Y27/O27</f>
        <v>0.29224273787614102</v>
      </c>
    </row>
    <row r="32" spans="1:29" ht="15" x14ac:dyDescent="0.25">
      <c r="B32" s="49"/>
    </row>
    <row r="33" spans="1:10" ht="15" x14ac:dyDescent="0.25">
      <c r="A33" s="49" t="s">
        <v>33</v>
      </c>
      <c r="B33" s="49"/>
      <c r="C33" t="s">
        <v>35</v>
      </c>
      <c r="D33" t="s">
        <v>36</v>
      </c>
      <c r="G33" t="s">
        <v>59</v>
      </c>
      <c r="H33">
        <v>14.41</v>
      </c>
      <c r="I33" t="s">
        <v>96</v>
      </c>
      <c r="J33">
        <f>H33*E40</f>
        <v>4.1494487846227868</v>
      </c>
    </row>
    <row r="34" spans="1:10" ht="15" x14ac:dyDescent="0.25">
      <c r="A34" s="49" t="s">
        <v>29</v>
      </c>
      <c r="B34" s="49"/>
      <c r="C34">
        <f>(E25+E26)/100</f>
        <v>19.09</v>
      </c>
      <c r="D34">
        <f>C34*B38*1.1</f>
        <v>3.2366680465121669</v>
      </c>
      <c r="G34" t="s">
        <v>60</v>
      </c>
      <c r="H34">
        <v>0.69</v>
      </c>
      <c r="I34" t="s">
        <v>94</v>
      </c>
      <c r="J34">
        <f>H34*E40</f>
        <v>0.19868977525258311</v>
      </c>
    </row>
    <row r="35" spans="1:10" ht="15" x14ac:dyDescent="0.25">
      <c r="A35" s="49">
        <v>10</v>
      </c>
      <c r="B35" s="49"/>
      <c r="C35">
        <f>(E28+E29)/100</f>
        <v>20.399999999999999</v>
      </c>
      <c r="D35">
        <f>C35*B41*1.1</f>
        <v>13.83510280751141</v>
      </c>
    </row>
    <row r="36" spans="1:10" ht="15" x14ac:dyDescent="0.25">
      <c r="A36" s="49" t="s">
        <v>55</v>
      </c>
      <c r="C36">
        <f>E30/100</f>
        <v>4</v>
      </c>
      <c r="D36">
        <f>C36*B42*1.1</f>
        <v>4.2386957130856047</v>
      </c>
    </row>
    <row r="37" spans="1:10" ht="15" x14ac:dyDescent="0.25">
      <c r="B37" s="49"/>
    </row>
    <row r="38" spans="1:10" ht="15" x14ac:dyDescent="0.25">
      <c r="A38">
        <v>5</v>
      </c>
      <c r="B38">
        <f>((A38/1000)^2*PI())/4*7850</f>
        <v>0.15413438956674921</v>
      </c>
      <c r="D38" t="s">
        <v>50</v>
      </c>
      <c r="E38">
        <f>SUM(D34:D36)</f>
        <v>21.310466567109181</v>
      </c>
      <c r="F38" t="s">
        <v>95</v>
      </c>
    </row>
    <row r="39" spans="1:10" ht="15" x14ac:dyDescent="0.25">
      <c r="A39">
        <v>6.3</v>
      </c>
      <c r="B39">
        <f t="shared" ref="B39:B42" si="7">((A39/1000)^2*PI())/4*7850</f>
        <v>0.24470375687617107</v>
      </c>
    </row>
    <row r="40" spans="1:10" ht="15" x14ac:dyDescent="0.25">
      <c r="A40">
        <v>8</v>
      </c>
      <c r="B40">
        <f t="shared" si="7"/>
        <v>0.39458403729087799</v>
      </c>
      <c r="E40" s="24">
        <f>E38/E16</f>
        <v>0.28795619601823641</v>
      </c>
    </row>
    <row r="41" spans="1:10" ht="15" x14ac:dyDescent="0.25">
      <c r="A41">
        <v>10</v>
      </c>
      <c r="B41">
        <f t="shared" si="7"/>
        <v>0.61653755826699685</v>
      </c>
    </row>
    <row r="42" spans="1:10" ht="15" x14ac:dyDescent="0.25">
      <c r="A42">
        <v>12.5</v>
      </c>
      <c r="B42">
        <f t="shared" si="7"/>
        <v>0.96333993479218272</v>
      </c>
    </row>
    <row r="45" spans="1:10" ht="15" x14ac:dyDescent="0.25">
      <c r="A45" t="s">
        <v>102</v>
      </c>
      <c r="C45">
        <f>E38+Y27+AF2</f>
        <v>79.323912456674364</v>
      </c>
      <c r="D45">
        <f>C45/AF16</f>
        <v>0.33688431930364826</v>
      </c>
    </row>
  </sheetData>
  <mergeCells count="5">
    <mergeCell ref="A1:E1"/>
    <mergeCell ref="K1:O1"/>
    <mergeCell ref="A23:E23"/>
    <mergeCell ref="U1:Y1"/>
    <mergeCell ref="AE1:AG1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8"/>
  <sheetViews>
    <sheetView zoomScale="70" zoomScaleNormal="70" workbookViewId="0">
      <selection activeCell="M7" sqref="M7:N11"/>
    </sheetView>
  </sheetViews>
  <sheetFormatPr defaultRowHeight="14.25" x14ac:dyDescent="0.45"/>
  <cols>
    <col min="1" max="1" width="10.265625" bestFit="1" customWidth="1"/>
    <col min="2" max="2" width="18.86328125" bestFit="1" customWidth="1"/>
    <col min="4" max="4" width="11.265625" customWidth="1"/>
    <col min="5" max="5" width="14.86328125" bestFit="1" customWidth="1"/>
    <col min="13" max="14" width="9.1328125" customWidth="1"/>
  </cols>
  <sheetData>
    <row r="1" spans="1:26" ht="15" x14ac:dyDescent="0.25">
      <c r="A1" s="114" t="s">
        <v>57</v>
      </c>
      <c r="B1" s="114"/>
      <c r="C1" s="114"/>
      <c r="D1" s="114"/>
      <c r="E1" s="114"/>
      <c r="G1" s="114" t="s">
        <v>56</v>
      </c>
      <c r="H1" s="114"/>
      <c r="I1" s="114"/>
      <c r="J1" s="114"/>
      <c r="K1" s="114"/>
      <c r="L1" s="30"/>
      <c r="O1" s="114" t="s">
        <v>58</v>
      </c>
      <c r="P1" s="114"/>
      <c r="Q1" s="114"/>
      <c r="R1" s="114"/>
      <c r="S1" s="114"/>
      <c r="V1" s="114" t="s">
        <v>62</v>
      </c>
      <c r="W1" s="114"/>
      <c r="X1" s="114"/>
      <c r="Y1" s="114"/>
      <c r="Z1" s="114"/>
    </row>
    <row r="2" spans="1:26" x14ac:dyDescent="0.45">
      <c r="A2" s="30" t="s">
        <v>54</v>
      </c>
      <c r="B2" s="30" t="s">
        <v>33</v>
      </c>
      <c r="C2" t="s">
        <v>32</v>
      </c>
      <c r="D2" t="s">
        <v>31</v>
      </c>
      <c r="E2" t="s">
        <v>34</v>
      </c>
      <c r="G2" s="30" t="s">
        <v>54</v>
      </c>
      <c r="H2" s="30" t="s">
        <v>33</v>
      </c>
      <c r="I2" t="s">
        <v>32</v>
      </c>
      <c r="J2" t="s">
        <v>31</v>
      </c>
      <c r="K2" t="s">
        <v>34</v>
      </c>
      <c r="O2" s="30" t="s">
        <v>54</v>
      </c>
      <c r="P2" s="30" t="s">
        <v>33</v>
      </c>
      <c r="Q2" t="s">
        <v>32</v>
      </c>
      <c r="R2" t="s">
        <v>31</v>
      </c>
      <c r="S2" t="s">
        <v>34</v>
      </c>
      <c r="V2" s="30" t="s">
        <v>33</v>
      </c>
      <c r="W2" s="30" t="s">
        <v>41</v>
      </c>
      <c r="X2" t="s">
        <v>32</v>
      </c>
      <c r="Y2" t="s">
        <v>31</v>
      </c>
      <c r="Z2" t="s">
        <v>34</v>
      </c>
    </row>
    <row r="3" spans="1:26" ht="15" x14ac:dyDescent="0.25">
      <c r="A3">
        <v>2</v>
      </c>
      <c r="B3" s="30" t="s">
        <v>29</v>
      </c>
      <c r="C3">
        <v>2</v>
      </c>
      <c r="D3">
        <v>360</v>
      </c>
      <c r="E3">
        <f t="shared" ref="E3:E17" si="0">D3*C3</f>
        <v>720</v>
      </c>
      <c r="G3">
        <v>1</v>
      </c>
      <c r="H3" s="30" t="s">
        <v>29</v>
      </c>
      <c r="I3">
        <v>264</v>
      </c>
      <c r="J3">
        <v>77</v>
      </c>
      <c r="K3">
        <f t="shared" ref="K3:K11" si="1">J3*I3</f>
        <v>20328</v>
      </c>
      <c r="O3">
        <v>1</v>
      </c>
      <c r="P3" s="30" t="s">
        <v>29</v>
      </c>
      <c r="Q3">
        <v>70</v>
      </c>
      <c r="R3">
        <v>77</v>
      </c>
      <c r="S3">
        <f>R3*Q3</f>
        <v>5390</v>
      </c>
      <c r="V3" s="30" t="s">
        <v>46</v>
      </c>
      <c r="W3">
        <v>234</v>
      </c>
      <c r="X3">
        <f>W3/39</f>
        <v>6</v>
      </c>
      <c r="Y3">
        <v>216</v>
      </c>
      <c r="Z3">
        <f>X3*Y3</f>
        <v>1296</v>
      </c>
    </row>
    <row r="4" spans="1:26" ht="15" x14ac:dyDescent="0.25">
      <c r="A4">
        <v>3</v>
      </c>
      <c r="B4" s="30" t="s">
        <v>29</v>
      </c>
      <c r="C4">
        <v>2</v>
      </c>
      <c r="D4">
        <v>555</v>
      </c>
      <c r="E4">
        <f t="shared" si="0"/>
        <v>1110</v>
      </c>
      <c r="G4">
        <v>10</v>
      </c>
      <c r="H4" s="30" t="s">
        <v>39</v>
      </c>
      <c r="I4">
        <v>2</v>
      </c>
      <c r="J4">
        <v>771</v>
      </c>
      <c r="K4">
        <f t="shared" si="1"/>
        <v>1542</v>
      </c>
      <c r="O4">
        <v>6</v>
      </c>
      <c r="P4" s="30" t="s">
        <v>29</v>
      </c>
      <c r="Q4">
        <v>2</v>
      </c>
      <c r="R4">
        <v>303</v>
      </c>
      <c r="S4">
        <f>R4*Q4</f>
        <v>606</v>
      </c>
      <c r="V4" s="30" t="s">
        <v>46</v>
      </c>
      <c r="W4">
        <v>78</v>
      </c>
      <c r="X4">
        <f>W4/39</f>
        <v>2</v>
      </c>
      <c r="Y4">
        <v>212</v>
      </c>
      <c r="Z4">
        <f t="shared" ref="Z4" si="2">X4*Y4</f>
        <v>424</v>
      </c>
    </row>
    <row r="5" spans="1:26" ht="15" x14ac:dyDescent="0.25">
      <c r="A5">
        <v>4</v>
      </c>
      <c r="B5" s="30" t="s">
        <v>29</v>
      </c>
      <c r="C5">
        <v>2</v>
      </c>
      <c r="D5">
        <v>1110</v>
      </c>
      <c r="E5">
        <f t="shared" si="0"/>
        <v>2220</v>
      </c>
      <c r="G5">
        <v>23</v>
      </c>
      <c r="H5" s="30" t="s">
        <v>39</v>
      </c>
      <c r="I5">
        <v>4</v>
      </c>
      <c r="J5">
        <v>1200</v>
      </c>
      <c r="K5">
        <f t="shared" si="1"/>
        <v>4800</v>
      </c>
      <c r="O5">
        <v>35</v>
      </c>
      <c r="P5" s="30" t="s">
        <v>39</v>
      </c>
      <c r="Q5">
        <v>2</v>
      </c>
      <c r="R5">
        <v>1114</v>
      </c>
      <c r="S5">
        <f>R5*Q5</f>
        <v>2228</v>
      </c>
      <c r="V5" s="30" t="s">
        <v>46</v>
      </c>
      <c r="W5">
        <v>273</v>
      </c>
      <c r="X5">
        <f>W5/39</f>
        <v>7</v>
      </c>
      <c r="Y5">
        <v>76</v>
      </c>
      <c r="Z5">
        <f>X5*Y5</f>
        <v>532</v>
      </c>
    </row>
    <row r="6" spans="1:26" ht="15" x14ac:dyDescent="0.25">
      <c r="A6">
        <v>1</v>
      </c>
      <c r="B6" s="30" t="s">
        <v>29</v>
      </c>
      <c r="C6">
        <f>39+78+118+49</f>
        <v>284</v>
      </c>
      <c r="D6">
        <v>77</v>
      </c>
      <c r="E6">
        <f t="shared" si="0"/>
        <v>21868</v>
      </c>
      <c r="G6">
        <v>25</v>
      </c>
      <c r="H6" s="30" t="s">
        <v>39</v>
      </c>
      <c r="I6">
        <v>2</v>
      </c>
      <c r="J6">
        <v>900</v>
      </c>
      <c r="K6">
        <f t="shared" si="1"/>
        <v>1800</v>
      </c>
      <c r="O6">
        <v>50</v>
      </c>
      <c r="P6" s="30" t="s">
        <v>39</v>
      </c>
      <c r="Q6">
        <v>2</v>
      </c>
      <c r="R6">
        <v>215</v>
      </c>
      <c r="S6">
        <f>R6*Q6</f>
        <v>430</v>
      </c>
      <c r="V6" s="30" t="s">
        <v>55</v>
      </c>
      <c r="W6">
        <v>156</v>
      </c>
      <c r="X6">
        <f>W6/39</f>
        <v>4</v>
      </c>
      <c r="Y6">
        <v>100</v>
      </c>
      <c r="Z6">
        <f t="shared" ref="Z6" si="3">X6*Y6</f>
        <v>400</v>
      </c>
    </row>
    <row r="7" spans="1:26" ht="15" x14ac:dyDescent="0.25">
      <c r="A7">
        <v>7</v>
      </c>
      <c r="B7" s="30" t="s">
        <v>39</v>
      </c>
      <c r="C7">
        <v>2</v>
      </c>
      <c r="D7">
        <v>251</v>
      </c>
      <c r="E7">
        <f t="shared" si="0"/>
        <v>502</v>
      </c>
      <c r="G7">
        <v>26</v>
      </c>
      <c r="H7" s="30" t="s">
        <v>39</v>
      </c>
      <c r="I7">
        <v>2</v>
      </c>
      <c r="J7">
        <v>890</v>
      </c>
      <c r="K7">
        <f t="shared" si="1"/>
        <v>1780</v>
      </c>
      <c r="M7">
        <v>5</v>
      </c>
      <c r="N7">
        <f>((M7/1000)^2*PI())/4*7850</f>
        <v>0.15413438956674921</v>
      </c>
      <c r="O7">
        <v>51</v>
      </c>
      <c r="P7" s="30" t="s">
        <v>39</v>
      </c>
      <c r="Q7">
        <v>2</v>
      </c>
      <c r="R7">
        <v>644</v>
      </c>
      <c r="S7">
        <f>R7*Q7</f>
        <v>1288</v>
      </c>
    </row>
    <row r="8" spans="1:26" ht="15" x14ac:dyDescent="0.25">
      <c r="A8">
        <v>8</v>
      </c>
      <c r="B8" s="30" t="s">
        <v>39</v>
      </c>
      <c r="C8">
        <v>2</v>
      </c>
      <c r="D8">
        <v>600</v>
      </c>
      <c r="E8">
        <f t="shared" si="0"/>
        <v>1200</v>
      </c>
      <c r="G8">
        <v>27</v>
      </c>
      <c r="H8" s="30" t="s">
        <v>39</v>
      </c>
      <c r="I8">
        <v>2</v>
      </c>
      <c r="J8">
        <v>927</v>
      </c>
      <c r="K8">
        <f t="shared" si="1"/>
        <v>1854</v>
      </c>
      <c r="M8">
        <v>6.3</v>
      </c>
      <c r="N8">
        <f t="shared" ref="N8:N11" si="4">((M8/1000)^2*PI())/4*7850</f>
        <v>0.24470375687617107</v>
      </c>
      <c r="P8" s="30"/>
    </row>
    <row r="9" spans="1:26" ht="15" x14ac:dyDescent="0.25">
      <c r="A9">
        <v>9</v>
      </c>
      <c r="B9" s="30" t="s">
        <v>39</v>
      </c>
      <c r="C9">
        <v>2</v>
      </c>
      <c r="D9">
        <v>1190</v>
      </c>
      <c r="E9">
        <f t="shared" si="0"/>
        <v>2380</v>
      </c>
      <c r="G9">
        <v>28</v>
      </c>
      <c r="H9" s="30" t="s">
        <v>39</v>
      </c>
      <c r="I9">
        <v>2</v>
      </c>
      <c r="J9">
        <v>930</v>
      </c>
      <c r="K9">
        <f t="shared" si="1"/>
        <v>1860</v>
      </c>
      <c r="M9">
        <v>8</v>
      </c>
      <c r="N9">
        <f t="shared" si="4"/>
        <v>0.39458403729087799</v>
      </c>
      <c r="P9" s="30"/>
    </row>
    <row r="10" spans="1:26" ht="15" x14ac:dyDescent="0.25">
      <c r="A10">
        <v>10</v>
      </c>
      <c r="B10" s="30" t="s">
        <v>39</v>
      </c>
      <c r="C10">
        <v>2</v>
      </c>
      <c r="D10">
        <v>771</v>
      </c>
      <c r="E10">
        <f t="shared" si="0"/>
        <v>1542</v>
      </c>
      <c r="G10">
        <v>29</v>
      </c>
      <c r="H10" s="30" t="s">
        <v>39</v>
      </c>
      <c r="I10">
        <v>2</v>
      </c>
      <c r="J10">
        <v>1198</v>
      </c>
      <c r="K10">
        <f t="shared" si="1"/>
        <v>2396</v>
      </c>
      <c r="M10">
        <v>10</v>
      </c>
      <c r="N10">
        <f t="shared" si="4"/>
        <v>0.61653755826699685</v>
      </c>
      <c r="P10" s="30"/>
    </row>
    <row r="11" spans="1:26" ht="15" x14ac:dyDescent="0.25">
      <c r="A11">
        <v>11</v>
      </c>
      <c r="B11" s="30" t="s">
        <v>39</v>
      </c>
      <c r="C11">
        <v>2</v>
      </c>
      <c r="D11">
        <v>103</v>
      </c>
      <c r="E11">
        <f t="shared" si="0"/>
        <v>206</v>
      </c>
      <c r="G11">
        <v>30</v>
      </c>
      <c r="H11" s="30" t="s">
        <v>39</v>
      </c>
      <c r="I11">
        <v>2</v>
      </c>
      <c r="J11">
        <v>921</v>
      </c>
      <c r="K11">
        <f t="shared" si="1"/>
        <v>1842</v>
      </c>
      <c r="M11">
        <v>12.5</v>
      </c>
      <c r="N11">
        <f t="shared" si="4"/>
        <v>0.96333993479218272</v>
      </c>
      <c r="P11" s="30"/>
    </row>
    <row r="12" spans="1:26" ht="15" x14ac:dyDescent="0.25">
      <c r="A12">
        <v>12</v>
      </c>
      <c r="B12" s="30" t="s">
        <v>39</v>
      </c>
      <c r="C12">
        <v>2</v>
      </c>
      <c r="D12">
        <v>340</v>
      </c>
      <c r="E12">
        <f t="shared" si="0"/>
        <v>680</v>
      </c>
      <c r="H12" s="30"/>
    </row>
    <row r="13" spans="1:26" ht="15" x14ac:dyDescent="0.25">
      <c r="A13">
        <v>52</v>
      </c>
      <c r="B13" s="30" t="s">
        <v>55</v>
      </c>
      <c r="C13">
        <v>2</v>
      </c>
      <c r="D13">
        <v>1200</v>
      </c>
      <c r="E13">
        <f t="shared" si="0"/>
        <v>2400</v>
      </c>
      <c r="H13" s="30"/>
    </row>
    <row r="14" spans="1:26" ht="15" x14ac:dyDescent="0.25">
      <c r="A14">
        <v>53</v>
      </c>
      <c r="B14" s="30" t="s">
        <v>55</v>
      </c>
      <c r="C14">
        <v>2</v>
      </c>
      <c r="D14">
        <v>688</v>
      </c>
      <c r="E14">
        <f t="shared" si="0"/>
        <v>1376</v>
      </c>
      <c r="H14" s="30"/>
      <c r="W14" s="30" t="s">
        <v>33</v>
      </c>
      <c r="X14" t="s">
        <v>35</v>
      </c>
      <c r="Y14" t="s">
        <v>36</v>
      </c>
    </row>
    <row r="15" spans="1:26" ht="15" x14ac:dyDescent="0.25">
      <c r="A15">
        <v>54</v>
      </c>
      <c r="B15" s="30" t="s">
        <v>55</v>
      </c>
      <c r="C15">
        <v>2</v>
      </c>
      <c r="D15">
        <v>210</v>
      </c>
      <c r="E15">
        <f t="shared" si="0"/>
        <v>420</v>
      </c>
      <c r="H15" s="30"/>
      <c r="W15" s="30" t="s">
        <v>46</v>
      </c>
      <c r="X15">
        <f>(Z3+Z4+Z5)/100</f>
        <v>22.52</v>
      </c>
      <c r="Y15">
        <f>X15*N8</f>
        <v>5.5107286048513728</v>
      </c>
    </row>
    <row r="16" spans="1:26" ht="15" x14ac:dyDescent="0.25">
      <c r="A16">
        <v>55</v>
      </c>
      <c r="B16" s="30" t="s">
        <v>55</v>
      </c>
      <c r="C16">
        <v>2</v>
      </c>
      <c r="D16">
        <v>870</v>
      </c>
      <c r="E16">
        <f t="shared" si="0"/>
        <v>1740</v>
      </c>
      <c r="H16" s="30"/>
      <c r="W16" s="30" t="s">
        <v>55</v>
      </c>
      <c r="X16">
        <f>Z6/100</f>
        <v>4</v>
      </c>
      <c r="Y16">
        <f>X16*N11</f>
        <v>3.8533597391687309</v>
      </c>
    </row>
    <row r="17" spans="1:24" ht="15" x14ac:dyDescent="0.25">
      <c r="A17">
        <v>56</v>
      </c>
      <c r="B17" s="30" t="s">
        <v>55</v>
      </c>
      <c r="C17">
        <v>2</v>
      </c>
      <c r="D17">
        <v>875</v>
      </c>
      <c r="E17">
        <f t="shared" si="0"/>
        <v>1750</v>
      </c>
      <c r="H17" s="30"/>
    </row>
    <row r="19" spans="1:24" ht="15" x14ac:dyDescent="0.25">
      <c r="V19" t="s">
        <v>44</v>
      </c>
    </row>
    <row r="20" spans="1:24" ht="15" x14ac:dyDescent="0.25">
      <c r="V20" t="s">
        <v>45</v>
      </c>
      <c r="W20">
        <f>Y16+Y15</f>
        <v>9.3640883440201037</v>
      </c>
      <c r="X20">
        <f>X23*W20</f>
        <v>149.82541350432166</v>
      </c>
    </row>
    <row r="21" spans="1:24" ht="15" x14ac:dyDescent="0.25">
      <c r="A21" s="30" t="s">
        <v>33</v>
      </c>
      <c r="B21" s="30"/>
      <c r="C21" t="s">
        <v>35</v>
      </c>
      <c r="D21" t="s">
        <v>36</v>
      </c>
      <c r="G21" s="30" t="s">
        <v>33</v>
      </c>
      <c r="H21" s="30"/>
      <c r="I21" t="s">
        <v>35</v>
      </c>
      <c r="J21" t="s">
        <v>36</v>
      </c>
      <c r="O21" s="30" t="s">
        <v>33</v>
      </c>
      <c r="P21" s="30"/>
      <c r="Q21" t="s">
        <v>35</v>
      </c>
      <c r="R21" t="s">
        <v>36</v>
      </c>
    </row>
    <row r="22" spans="1:24" ht="15" x14ac:dyDescent="0.25">
      <c r="A22" s="30" t="s">
        <v>29</v>
      </c>
      <c r="B22" s="30"/>
      <c r="C22">
        <f>(E3+E4+E5+E6)/100</f>
        <v>259.18</v>
      </c>
      <c r="D22">
        <f>C22*N7</f>
        <v>39.948551087910062</v>
      </c>
      <c r="G22" s="30" t="s">
        <v>29</v>
      </c>
      <c r="H22" s="30"/>
      <c r="I22">
        <f>K3/100</f>
        <v>203.28</v>
      </c>
      <c r="J22">
        <f>N7*I22</f>
        <v>31.332438711128781</v>
      </c>
      <c r="O22" s="30" t="s">
        <v>29</v>
      </c>
      <c r="P22" s="30"/>
      <c r="Q22">
        <f>(S3+S4)/100</f>
        <v>59.96</v>
      </c>
      <c r="R22">
        <f>N7+Q22</f>
        <v>60.11413438956675</v>
      </c>
    </row>
    <row r="23" spans="1:24" x14ac:dyDescent="0.45">
      <c r="A23" s="30" t="s">
        <v>39</v>
      </c>
      <c r="B23" s="30"/>
      <c r="C23">
        <f>(E7+E8+E9+E10+E11+E12)/100</f>
        <v>65.099999999999994</v>
      </c>
      <c r="D23">
        <f>C23*N9</f>
        <v>25.687420827636156</v>
      </c>
      <c r="G23" s="30" t="s">
        <v>39</v>
      </c>
      <c r="H23" s="30"/>
      <c r="I23">
        <f>SUM(K4:K11)/100</f>
        <v>178.74</v>
      </c>
      <c r="J23">
        <f>I23*N9</f>
        <v>70.527950825371533</v>
      </c>
      <c r="O23" s="30" t="s">
        <v>39</v>
      </c>
      <c r="P23" s="30"/>
      <c r="Q23">
        <f>(S7+S6+S5)/100</f>
        <v>39.46</v>
      </c>
      <c r="R23">
        <f>Q23*N9</f>
        <v>15.570286111498046</v>
      </c>
      <c r="V23" t="s">
        <v>61</v>
      </c>
      <c r="X23">
        <v>16</v>
      </c>
    </row>
    <row r="24" spans="1:24" ht="15" x14ac:dyDescent="0.25">
      <c r="A24" s="30" t="s">
        <v>55</v>
      </c>
      <c r="C24">
        <f>(E13+E14+E15+E16+E17)/100</f>
        <v>76.86</v>
      </c>
      <c r="D24">
        <f>C24*N11</f>
        <v>74.042307388127156</v>
      </c>
      <c r="G24" s="30" t="s">
        <v>55</v>
      </c>
      <c r="O24" s="30" t="s">
        <v>55</v>
      </c>
    </row>
    <row r="26" spans="1:24" ht="15" x14ac:dyDescent="0.25">
      <c r="B26" t="s">
        <v>44</v>
      </c>
      <c r="C26">
        <f>D22</f>
        <v>39.948551087910062</v>
      </c>
      <c r="H26" t="s">
        <v>44</v>
      </c>
      <c r="I26">
        <f>J22</f>
        <v>31.332438711128781</v>
      </c>
      <c r="P26" t="s">
        <v>44</v>
      </c>
      <c r="Q26">
        <f>R22</f>
        <v>60.11413438956675</v>
      </c>
    </row>
    <row r="27" spans="1:24" ht="15" x14ac:dyDescent="0.25">
      <c r="B27" t="s">
        <v>45</v>
      </c>
      <c r="C27">
        <f>D24+D23</f>
        <v>99.729728215763316</v>
      </c>
      <c r="H27" t="s">
        <v>45</v>
      </c>
      <c r="I27">
        <f>J24+J23</f>
        <v>70.527950825371533</v>
      </c>
      <c r="P27" t="s">
        <v>45</v>
      </c>
      <c r="Q27">
        <f>R24+R23</f>
        <v>15.570286111498046</v>
      </c>
    </row>
    <row r="29" spans="1:24" ht="15" x14ac:dyDescent="0.25">
      <c r="B29" t="s">
        <v>59</v>
      </c>
      <c r="C29">
        <f>(43.65*0.3)*2</f>
        <v>26.189999999999998</v>
      </c>
      <c r="H29" t="s">
        <v>59</v>
      </c>
      <c r="I29">
        <f>(43.65*0.3)*2</f>
        <v>26.189999999999998</v>
      </c>
      <c r="O29" t="s">
        <v>59</v>
      </c>
      <c r="P29">
        <f>(11.04*0.3)*2</f>
        <v>6.6239999999999997</v>
      </c>
      <c r="V29" t="s">
        <v>59</v>
      </c>
      <c r="W29">
        <f>(0.6*4*0.55)*X23</f>
        <v>21.12</v>
      </c>
    </row>
    <row r="30" spans="1:24" ht="15" x14ac:dyDescent="0.25">
      <c r="B30" t="s">
        <v>60</v>
      </c>
      <c r="C30">
        <f>43.65*0.3*0.15</f>
        <v>1.9642499999999998</v>
      </c>
      <c r="H30" t="s">
        <v>60</v>
      </c>
      <c r="I30">
        <f>43.65*0.3*0.15</f>
        <v>1.9642499999999998</v>
      </c>
      <c r="O30" t="s">
        <v>60</v>
      </c>
      <c r="P30">
        <f>11.04*0.3*0.15</f>
        <v>0.49679999999999996</v>
      </c>
      <c r="V30" t="s">
        <v>60</v>
      </c>
      <c r="W30">
        <f>(0.6*0.55*0.6)*X23</f>
        <v>3.1680000000000001</v>
      </c>
    </row>
    <row r="35" spans="2:7" x14ac:dyDescent="0.45">
      <c r="D35" t="s">
        <v>63</v>
      </c>
    </row>
    <row r="36" spans="2:7" x14ac:dyDescent="0.45">
      <c r="E36" t="s">
        <v>43</v>
      </c>
      <c r="F36" t="s">
        <v>59</v>
      </c>
      <c r="G36" t="s">
        <v>60</v>
      </c>
    </row>
    <row r="37" spans="2:7" ht="15" x14ac:dyDescent="0.25">
      <c r="D37" t="s">
        <v>51</v>
      </c>
      <c r="E37">
        <f>567.6+199.3</f>
        <v>766.90000000000009</v>
      </c>
      <c r="F37">
        <v>252.58</v>
      </c>
      <c r="G37">
        <v>16.09</v>
      </c>
    </row>
    <row r="38" spans="2:7" ht="15" x14ac:dyDescent="0.25">
      <c r="D38" t="s">
        <v>40</v>
      </c>
      <c r="E38">
        <f>361.3</f>
        <v>361.3</v>
      </c>
      <c r="F38">
        <v>52.8</v>
      </c>
      <c r="G38">
        <v>3.5</v>
      </c>
    </row>
    <row r="39" spans="2:7" ht="15" x14ac:dyDescent="0.25">
      <c r="D39" t="s">
        <v>38</v>
      </c>
      <c r="E39">
        <f>(847.9+950.5)</f>
        <v>1798.4</v>
      </c>
      <c r="F39">
        <v>393.98</v>
      </c>
      <c r="G39">
        <v>79.739999999999995</v>
      </c>
    </row>
    <row r="41" spans="2:7" ht="15" x14ac:dyDescent="0.25">
      <c r="D41" t="s">
        <v>50</v>
      </c>
      <c r="E41">
        <f>SUM(E37:E39)</f>
        <v>2926.6000000000004</v>
      </c>
      <c r="F41">
        <f>SUM(F37:F39)</f>
        <v>699.36</v>
      </c>
      <c r="G41">
        <f>SUM(G37:G39)</f>
        <v>99.33</v>
      </c>
    </row>
    <row r="42" spans="2:7" x14ac:dyDescent="0.45">
      <c r="B42" t="s">
        <v>64</v>
      </c>
      <c r="E42">
        <f>C26+C27+I26+I27+Q26+Q27</f>
        <v>317.22308934123851</v>
      </c>
      <c r="F42">
        <f>C29+I29+P29</f>
        <v>59.003999999999998</v>
      </c>
      <c r="G42">
        <f>C30+I30+P30</f>
        <v>4.4253</v>
      </c>
    </row>
    <row r="43" spans="2:7" x14ac:dyDescent="0.45">
      <c r="B43" t="s">
        <v>65</v>
      </c>
      <c r="E43">
        <f>X20</f>
        <v>149.82541350432166</v>
      </c>
      <c r="F43">
        <f>W29</f>
        <v>21.12</v>
      </c>
      <c r="G43">
        <f>W30</f>
        <v>3.1680000000000001</v>
      </c>
    </row>
    <row r="44" spans="2:7" ht="15" x14ac:dyDescent="0.25">
      <c r="C44" t="s">
        <v>28</v>
      </c>
      <c r="E44">
        <f>E42+E43</f>
        <v>467.04850284556017</v>
      </c>
      <c r="F44">
        <f>F42+F43</f>
        <v>80.123999999999995</v>
      </c>
      <c r="G44">
        <f>G42+G43</f>
        <v>7.5933000000000002</v>
      </c>
    </row>
    <row r="45" spans="2:7" ht="15" x14ac:dyDescent="0.25">
      <c r="C45" t="s">
        <v>66</v>
      </c>
      <c r="E45" s="26">
        <f>1-(E44/E41)</f>
        <v>0.84041259384761835</v>
      </c>
      <c r="F45" s="26">
        <f>1-(F44/F41)</f>
        <v>0.88543239533287577</v>
      </c>
      <c r="G45" s="26">
        <f>1-(G44/G41)</f>
        <v>0.92355481727574751</v>
      </c>
    </row>
    <row r="50" spans="1:6" ht="15" x14ac:dyDescent="0.25">
      <c r="A50" s="130" t="s">
        <v>71</v>
      </c>
      <c r="B50" s="130"/>
      <c r="C50" s="130"/>
      <c r="D50" s="130"/>
      <c r="E50" s="130"/>
      <c r="F50" s="32"/>
    </row>
    <row r="51" spans="1:6" x14ac:dyDescent="0.45">
      <c r="A51" s="130" t="s">
        <v>27</v>
      </c>
      <c r="B51" s="130"/>
      <c r="C51" s="130"/>
      <c r="D51" s="130"/>
      <c r="E51" s="130"/>
      <c r="F51" s="32"/>
    </row>
    <row r="52" spans="1:6" x14ac:dyDescent="0.45">
      <c r="A52" s="32" t="s">
        <v>72</v>
      </c>
      <c r="B52" s="32" t="s">
        <v>80</v>
      </c>
      <c r="C52" s="32" t="s">
        <v>73</v>
      </c>
      <c r="D52" s="32" t="s">
        <v>74</v>
      </c>
      <c r="E52" s="32" t="s">
        <v>75</v>
      </c>
      <c r="F52" s="32"/>
    </row>
    <row r="53" spans="1:6" x14ac:dyDescent="0.45">
      <c r="A53" s="32" t="s">
        <v>76</v>
      </c>
      <c r="B53" s="32">
        <v>3.15</v>
      </c>
      <c r="C53" s="32">
        <v>32.700000000000003</v>
      </c>
      <c r="D53" s="32">
        <v>16</v>
      </c>
      <c r="E53" s="32">
        <f>B53*C53*D53</f>
        <v>1648.0800000000002</v>
      </c>
      <c r="F53" s="32" t="s">
        <v>77</v>
      </c>
    </row>
    <row r="54" spans="1:6" x14ac:dyDescent="0.45">
      <c r="A54" s="32" t="s">
        <v>79</v>
      </c>
      <c r="B54" s="32">
        <v>12.39</v>
      </c>
      <c r="C54" s="32">
        <v>39</v>
      </c>
      <c r="D54" s="32">
        <v>16</v>
      </c>
      <c r="E54" s="32">
        <f>B54*C54*D54</f>
        <v>7731.3600000000006</v>
      </c>
      <c r="F54" s="32" t="s">
        <v>81</v>
      </c>
    </row>
    <row r="55" spans="1:6" x14ac:dyDescent="0.45">
      <c r="A55" s="32" t="s">
        <v>79</v>
      </c>
      <c r="B55" s="32">
        <v>44.36</v>
      </c>
      <c r="C55" s="32">
        <v>39</v>
      </c>
      <c r="D55" s="32">
        <v>2</v>
      </c>
      <c r="E55" s="32">
        <f>B55*C55*D55</f>
        <v>3460.08</v>
      </c>
      <c r="F55" s="32" t="s">
        <v>82</v>
      </c>
    </row>
    <row r="56" spans="1:6" x14ac:dyDescent="0.45">
      <c r="A56" s="32" t="s">
        <v>78</v>
      </c>
      <c r="B56" s="33">
        <v>44.36</v>
      </c>
      <c r="C56" s="32">
        <v>15</v>
      </c>
      <c r="D56" s="33">
        <v>3</v>
      </c>
      <c r="E56" s="32">
        <f>B56*C56*D56</f>
        <v>1996.1999999999998</v>
      </c>
      <c r="F56" s="32" t="s">
        <v>83</v>
      </c>
    </row>
    <row r="57" spans="1:6" x14ac:dyDescent="0.45">
      <c r="A57" s="32" t="s">
        <v>78</v>
      </c>
      <c r="B57" s="33">
        <v>12.39</v>
      </c>
      <c r="C57" s="32">
        <v>15</v>
      </c>
      <c r="D57" s="33">
        <v>2</v>
      </c>
      <c r="E57" s="32">
        <f>B57*C57*D57</f>
        <v>371.70000000000005</v>
      </c>
      <c r="F57" s="32" t="s">
        <v>84</v>
      </c>
    </row>
    <row r="58" spans="1:6" x14ac:dyDescent="0.45">
      <c r="E58" s="33">
        <f>SUM(E53:E57)*0.95</f>
        <v>14447.049000000001</v>
      </c>
    </row>
  </sheetData>
  <mergeCells count="6">
    <mergeCell ref="A51:E51"/>
    <mergeCell ref="A1:E1"/>
    <mergeCell ref="G1:K1"/>
    <mergeCell ref="O1:S1"/>
    <mergeCell ref="V1:Z1"/>
    <mergeCell ref="A50:E50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zoomScale="70" zoomScaleNormal="70" workbookViewId="0">
      <selection activeCell="F6" sqref="F6"/>
    </sheetView>
  </sheetViews>
  <sheetFormatPr defaultRowHeight="14.25" x14ac:dyDescent="0.45"/>
  <sheetData>
    <row r="1" spans="1:26" ht="15" x14ac:dyDescent="0.25">
      <c r="A1" s="114" t="s">
        <v>67</v>
      </c>
      <c r="B1" s="114"/>
      <c r="C1" s="114"/>
      <c r="D1" s="114"/>
      <c r="E1" s="114"/>
      <c r="G1" s="114" t="s">
        <v>68</v>
      </c>
      <c r="H1" s="114"/>
      <c r="I1" s="114"/>
      <c r="J1" s="114"/>
      <c r="K1" s="114"/>
      <c r="L1" s="31"/>
      <c r="O1" s="114" t="s">
        <v>67</v>
      </c>
      <c r="P1" s="114"/>
      <c r="Q1" s="114"/>
      <c r="R1" s="114"/>
      <c r="S1" s="114"/>
      <c r="V1" s="114" t="s">
        <v>62</v>
      </c>
      <c r="W1" s="114"/>
      <c r="X1" s="114"/>
      <c r="Y1" s="114"/>
      <c r="Z1" s="114"/>
    </row>
    <row r="2" spans="1:26" ht="15" x14ac:dyDescent="0.25">
      <c r="A2" s="31"/>
      <c r="B2" s="31" t="s">
        <v>33</v>
      </c>
      <c r="C2" t="s">
        <v>32</v>
      </c>
      <c r="D2" t="s">
        <v>31</v>
      </c>
      <c r="E2" t="s">
        <v>34</v>
      </c>
      <c r="G2" s="31"/>
      <c r="H2" s="31" t="s">
        <v>33</v>
      </c>
      <c r="I2" t="s">
        <v>32</v>
      </c>
      <c r="J2" t="s">
        <v>31</v>
      </c>
      <c r="K2" t="s">
        <v>34</v>
      </c>
      <c r="O2" s="31"/>
      <c r="P2" s="31" t="s">
        <v>33</v>
      </c>
      <c r="Q2" t="s">
        <v>32</v>
      </c>
      <c r="R2" t="s">
        <v>31</v>
      </c>
      <c r="S2" t="s">
        <v>34</v>
      </c>
      <c r="V2" s="31" t="s">
        <v>33</v>
      </c>
      <c r="W2" s="31" t="s">
        <v>41</v>
      </c>
      <c r="X2" t="s">
        <v>32</v>
      </c>
      <c r="Y2" t="s">
        <v>31</v>
      </c>
      <c r="Z2" t="s">
        <v>34</v>
      </c>
    </row>
    <row r="3" spans="1:26" ht="15" x14ac:dyDescent="0.25">
      <c r="B3" s="31" t="s">
        <v>39</v>
      </c>
      <c r="C3">
        <v>2</v>
      </c>
      <c r="D3">
        <v>249</v>
      </c>
      <c r="E3">
        <f t="shared" ref="E3:E12" si="0">D3*C3</f>
        <v>498</v>
      </c>
      <c r="H3" s="31" t="s">
        <v>39</v>
      </c>
      <c r="I3">
        <v>2</v>
      </c>
      <c r="J3">
        <v>1199</v>
      </c>
      <c r="K3">
        <f t="shared" ref="K3:K10" si="1">J3*I3</f>
        <v>2398</v>
      </c>
      <c r="P3" s="31" t="s">
        <v>39</v>
      </c>
      <c r="Q3">
        <v>2</v>
      </c>
      <c r="R3">
        <v>1155</v>
      </c>
      <c r="S3">
        <f t="shared" ref="S3:S11" si="2">R3*Q3</f>
        <v>2310</v>
      </c>
      <c r="V3" s="31" t="s">
        <v>46</v>
      </c>
      <c r="W3">
        <v>234</v>
      </c>
      <c r="X3">
        <f>W3/39</f>
        <v>6</v>
      </c>
      <c r="Y3">
        <v>216</v>
      </c>
      <c r="Z3">
        <f>X3*Y3</f>
        <v>1296</v>
      </c>
    </row>
    <row r="4" spans="1:26" ht="15" x14ac:dyDescent="0.25">
      <c r="B4" s="31" t="s">
        <v>39</v>
      </c>
      <c r="C4">
        <v>2</v>
      </c>
      <c r="D4">
        <v>1200</v>
      </c>
      <c r="E4">
        <f t="shared" si="0"/>
        <v>2400</v>
      </c>
      <c r="H4" s="31" t="s">
        <v>39</v>
      </c>
      <c r="I4">
        <v>2</v>
      </c>
      <c r="J4">
        <v>790</v>
      </c>
      <c r="K4">
        <f t="shared" si="1"/>
        <v>1580</v>
      </c>
      <c r="P4" s="31" t="s">
        <v>39</v>
      </c>
      <c r="Q4">
        <v>1</v>
      </c>
      <c r="R4">
        <v>209</v>
      </c>
      <c r="S4">
        <f t="shared" si="2"/>
        <v>209</v>
      </c>
      <c r="V4" s="31" t="s">
        <v>46</v>
      </c>
      <c r="W4">
        <v>78</v>
      </c>
      <c r="X4">
        <f>W4/39</f>
        <v>2</v>
      </c>
      <c r="Y4">
        <v>212</v>
      </c>
      <c r="Z4">
        <f t="shared" ref="Z4" si="3">X4*Y4</f>
        <v>424</v>
      </c>
    </row>
    <row r="5" spans="1:26" ht="15" x14ac:dyDescent="0.25">
      <c r="B5" s="31" t="s">
        <v>39</v>
      </c>
      <c r="C5">
        <v>2</v>
      </c>
      <c r="D5">
        <v>646</v>
      </c>
      <c r="E5">
        <f t="shared" si="0"/>
        <v>1292</v>
      </c>
      <c r="H5" s="31" t="s">
        <v>39</v>
      </c>
      <c r="I5">
        <v>2</v>
      </c>
      <c r="J5">
        <v>103</v>
      </c>
      <c r="K5">
        <f t="shared" si="1"/>
        <v>206</v>
      </c>
      <c r="P5" s="31" t="s">
        <v>39</v>
      </c>
      <c r="Q5">
        <v>1</v>
      </c>
      <c r="R5">
        <v>150</v>
      </c>
      <c r="S5">
        <f t="shared" si="2"/>
        <v>150</v>
      </c>
      <c r="V5" s="31" t="s">
        <v>46</v>
      </c>
      <c r="W5">
        <v>273</v>
      </c>
      <c r="X5">
        <f>W5/39</f>
        <v>7</v>
      </c>
      <c r="Y5">
        <v>76</v>
      </c>
      <c r="Z5">
        <f>X5*Y5</f>
        <v>532</v>
      </c>
    </row>
    <row r="6" spans="1:26" ht="15" x14ac:dyDescent="0.25">
      <c r="B6" s="31" t="s">
        <v>39</v>
      </c>
      <c r="C6">
        <v>2</v>
      </c>
      <c r="D6">
        <v>83</v>
      </c>
      <c r="E6">
        <f t="shared" si="0"/>
        <v>166</v>
      </c>
      <c r="H6" s="31" t="s">
        <v>29</v>
      </c>
      <c r="I6">
        <v>2</v>
      </c>
      <c r="J6">
        <v>570</v>
      </c>
      <c r="K6">
        <f t="shared" si="1"/>
        <v>1140</v>
      </c>
      <c r="P6" s="31" t="s">
        <v>39</v>
      </c>
      <c r="Q6">
        <v>1</v>
      </c>
      <c r="R6">
        <v>287</v>
      </c>
      <c r="S6">
        <f t="shared" si="2"/>
        <v>287</v>
      </c>
      <c r="V6" s="31" t="s">
        <v>55</v>
      </c>
      <c r="W6">
        <v>156</v>
      </c>
      <c r="X6">
        <f>W6/39</f>
        <v>4</v>
      </c>
      <c r="Y6">
        <v>100</v>
      </c>
      <c r="Z6">
        <f t="shared" ref="Z6" si="4">X6*Y6</f>
        <v>400</v>
      </c>
    </row>
    <row r="7" spans="1:26" ht="15" x14ac:dyDescent="0.25">
      <c r="B7" s="31" t="s">
        <v>29</v>
      </c>
      <c r="C7">
        <v>2</v>
      </c>
      <c r="D7">
        <v>243</v>
      </c>
      <c r="E7">
        <f t="shared" si="0"/>
        <v>486</v>
      </c>
      <c r="H7" s="31" t="s">
        <v>39</v>
      </c>
      <c r="I7">
        <v>2</v>
      </c>
      <c r="J7">
        <v>985</v>
      </c>
      <c r="K7">
        <f t="shared" si="1"/>
        <v>1970</v>
      </c>
      <c r="M7">
        <v>5</v>
      </c>
      <c r="N7">
        <f>((M7/1000)^2*PI())/4*7850</f>
        <v>0.15413438956674921</v>
      </c>
      <c r="P7" s="31" t="s">
        <v>39</v>
      </c>
      <c r="Q7">
        <v>2</v>
      </c>
      <c r="R7">
        <v>1101</v>
      </c>
      <c r="S7">
        <f t="shared" si="2"/>
        <v>2202</v>
      </c>
    </row>
    <row r="8" spans="1:26" ht="15" x14ac:dyDescent="0.25">
      <c r="B8" s="31" t="s">
        <v>29</v>
      </c>
      <c r="C8">
        <v>2</v>
      </c>
      <c r="D8">
        <v>260</v>
      </c>
      <c r="E8">
        <f t="shared" si="0"/>
        <v>520</v>
      </c>
      <c r="H8" s="31" t="s">
        <v>39</v>
      </c>
      <c r="I8">
        <v>2</v>
      </c>
      <c r="J8">
        <v>845</v>
      </c>
      <c r="K8">
        <f t="shared" si="1"/>
        <v>1690</v>
      </c>
      <c r="M8">
        <v>6.3</v>
      </c>
      <c r="N8">
        <f t="shared" ref="N8:N11" si="5">((M8/1000)^2*PI())/4*7850</f>
        <v>0.24470375687617107</v>
      </c>
      <c r="P8" s="31" t="s">
        <v>39</v>
      </c>
      <c r="Q8">
        <v>1</v>
      </c>
      <c r="R8">
        <v>102</v>
      </c>
      <c r="S8">
        <f t="shared" si="2"/>
        <v>102</v>
      </c>
    </row>
    <row r="9" spans="1:26" ht="15" x14ac:dyDescent="0.25">
      <c r="B9" s="31" t="s">
        <v>39</v>
      </c>
      <c r="C9">
        <v>2</v>
      </c>
      <c r="D9">
        <v>965</v>
      </c>
      <c r="E9">
        <f t="shared" si="0"/>
        <v>1930</v>
      </c>
      <c r="H9" s="31" t="s">
        <v>39</v>
      </c>
      <c r="I9">
        <v>2</v>
      </c>
      <c r="J9">
        <v>807</v>
      </c>
      <c r="K9">
        <f t="shared" si="1"/>
        <v>1614</v>
      </c>
      <c r="M9">
        <v>8</v>
      </c>
      <c r="N9">
        <f t="shared" si="5"/>
        <v>0.39458403729087799</v>
      </c>
      <c r="P9" s="31" t="s">
        <v>39</v>
      </c>
      <c r="Q9">
        <v>2</v>
      </c>
      <c r="R9">
        <v>260</v>
      </c>
      <c r="S9">
        <f t="shared" si="2"/>
        <v>520</v>
      </c>
    </row>
    <row r="10" spans="1:26" ht="15" x14ac:dyDescent="0.25">
      <c r="B10" s="31" t="s">
        <v>39</v>
      </c>
      <c r="C10">
        <v>2</v>
      </c>
      <c r="D10">
        <v>805</v>
      </c>
      <c r="E10">
        <f t="shared" si="0"/>
        <v>1610</v>
      </c>
      <c r="H10" s="31" t="s">
        <v>29</v>
      </c>
      <c r="I10">
        <v>167</v>
      </c>
      <c r="J10">
        <v>77</v>
      </c>
      <c r="K10">
        <f t="shared" si="1"/>
        <v>12859</v>
      </c>
      <c r="M10">
        <v>10</v>
      </c>
      <c r="N10">
        <f t="shared" si="5"/>
        <v>0.61653755826699685</v>
      </c>
      <c r="P10" s="31" t="s">
        <v>39</v>
      </c>
      <c r="Q10">
        <v>1</v>
      </c>
      <c r="R10">
        <v>280</v>
      </c>
      <c r="S10">
        <f t="shared" si="2"/>
        <v>280</v>
      </c>
    </row>
    <row r="11" spans="1:26" ht="15" x14ac:dyDescent="0.25">
      <c r="B11" s="31" t="s">
        <v>39</v>
      </c>
      <c r="C11">
        <v>2</v>
      </c>
      <c r="D11">
        <v>807</v>
      </c>
      <c r="E11">
        <f t="shared" si="0"/>
        <v>1614</v>
      </c>
      <c r="H11" s="31"/>
      <c r="M11">
        <v>12.5</v>
      </c>
      <c r="N11">
        <f t="shared" si="5"/>
        <v>0.96333993479218272</v>
      </c>
      <c r="P11" s="31" t="s">
        <v>39</v>
      </c>
      <c r="Q11">
        <v>1</v>
      </c>
      <c r="R11">
        <v>122</v>
      </c>
      <c r="S11">
        <f t="shared" si="2"/>
        <v>122</v>
      </c>
    </row>
    <row r="12" spans="1:26" ht="15" x14ac:dyDescent="0.25">
      <c r="B12" s="31" t="s">
        <v>29</v>
      </c>
      <c r="C12">
        <v>166</v>
      </c>
      <c r="D12">
        <v>87</v>
      </c>
      <c r="E12">
        <f t="shared" si="0"/>
        <v>14442</v>
      </c>
      <c r="H12" s="31"/>
      <c r="P12" s="31" t="s">
        <v>29</v>
      </c>
      <c r="Q12">
        <v>41</v>
      </c>
      <c r="R12">
        <v>117</v>
      </c>
      <c r="S12">
        <f t="shared" ref="S12" si="6">R12*Q12</f>
        <v>4797</v>
      </c>
    </row>
    <row r="13" spans="1:26" ht="15" x14ac:dyDescent="0.25">
      <c r="B13" s="31"/>
      <c r="H13" s="31"/>
    </row>
    <row r="14" spans="1:26" ht="15" x14ac:dyDescent="0.25">
      <c r="B14" s="31"/>
      <c r="H14" s="31"/>
      <c r="W14" s="31" t="s">
        <v>33</v>
      </c>
      <c r="X14" t="s">
        <v>35</v>
      </c>
      <c r="Y14" t="s">
        <v>36</v>
      </c>
    </row>
    <row r="15" spans="1:26" ht="15" x14ac:dyDescent="0.25">
      <c r="B15" s="31"/>
      <c r="H15" s="31"/>
      <c r="W15" s="31" t="s">
        <v>46</v>
      </c>
      <c r="X15">
        <f>(Z3+Z4+Z5)/100</f>
        <v>22.52</v>
      </c>
      <c r="Y15">
        <f>X15*N8</f>
        <v>5.5107286048513728</v>
      </c>
    </row>
    <row r="16" spans="1:26" ht="15" x14ac:dyDescent="0.25">
      <c r="B16" s="31"/>
      <c r="H16" s="31"/>
      <c r="W16" s="31" t="s">
        <v>55</v>
      </c>
      <c r="X16">
        <f>Z6/100</f>
        <v>4</v>
      </c>
      <c r="Y16">
        <f>X16*N11</f>
        <v>3.8533597391687309</v>
      </c>
    </row>
    <row r="17" spans="1:24" ht="15" x14ac:dyDescent="0.25">
      <c r="H17" s="31"/>
    </row>
    <row r="19" spans="1:24" ht="15" x14ac:dyDescent="0.25">
      <c r="V19" t="s">
        <v>44</v>
      </c>
    </row>
    <row r="20" spans="1:24" ht="15" x14ac:dyDescent="0.25">
      <c r="V20" t="s">
        <v>45</v>
      </c>
      <c r="W20">
        <f>Y16+Y15</f>
        <v>9.3640883440201037</v>
      </c>
      <c r="X20">
        <f>X23*W20</f>
        <v>74.91270675216083</v>
      </c>
    </row>
    <row r="21" spans="1:24" ht="15" x14ac:dyDescent="0.25">
      <c r="A21" s="31" t="s">
        <v>33</v>
      </c>
      <c r="B21" s="31"/>
      <c r="C21" t="s">
        <v>35</v>
      </c>
      <c r="D21" t="s">
        <v>36</v>
      </c>
      <c r="G21" s="31" t="s">
        <v>33</v>
      </c>
      <c r="H21" s="31"/>
      <c r="I21" t="s">
        <v>35</v>
      </c>
      <c r="J21" t="s">
        <v>36</v>
      </c>
      <c r="O21" s="31" t="s">
        <v>33</v>
      </c>
      <c r="P21" s="31"/>
      <c r="Q21" t="s">
        <v>35</v>
      </c>
      <c r="R21" t="s">
        <v>36</v>
      </c>
    </row>
    <row r="22" spans="1:24" ht="15" x14ac:dyDescent="0.25">
      <c r="A22" s="31" t="s">
        <v>29</v>
      </c>
      <c r="B22" s="31"/>
      <c r="C22">
        <f>(E12+E8+E7)/100</f>
        <v>154.47999999999999</v>
      </c>
      <c r="D22">
        <f>C22*N7</f>
        <v>23.810680500271417</v>
      </c>
      <c r="G22" s="31" t="s">
        <v>29</v>
      </c>
      <c r="H22" s="31"/>
      <c r="I22">
        <f>(K10+K6)/100</f>
        <v>139.99</v>
      </c>
      <c r="J22">
        <f>N7*I22</f>
        <v>21.577273195449223</v>
      </c>
      <c r="O22" s="31" t="s">
        <v>29</v>
      </c>
      <c r="P22" s="31"/>
      <c r="Q22">
        <f>(S12)/100</f>
        <v>47.97</v>
      </c>
      <c r="R22">
        <f>N7*Q22</f>
        <v>7.3938266675169597</v>
      </c>
    </row>
    <row r="23" spans="1:24" x14ac:dyDescent="0.45">
      <c r="A23" s="31" t="s">
        <v>39</v>
      </c>
      <c r="B23" s="31"/>
      <c r="C23">
        <f>(E3+E4+E5+E6+E9+E10+E11)/100</f>
        <v>95.1</v>
      </c>
      <c r="D23">
        <f>C23*N9</f>
        <v>37.524941946362496</v>
      </c>
      <c r="G23" s="31" t="s">
        <v>46</v>
      </c>
      <c r="H23" s="31"/>
      <c r="I23">
        <f>(K3+K4+K5+K7+K8+K9)/100</f>
        <v>94.58</v>
      </c>
      <c r="J23">
        <f>I23*N8</f>
        <v>23.14408132534826</v>
      </c>
      <c r="O23" s="31" t="s">
        <v>39</v>
      </c>
      <c r="P23" s="31"/>
      <c r="Q23">
        <f>SUM(S3:S11)/100</f>
        <v>61.82</v>
      </c>
      <c r="R23">
        <f>Q23*N9</f>
        <v>24.393185185322078</v>
      </c>
      <c r="V23" t="s">
        <v>61</v>
      </c>
      <c r="X23">
        <v>8</v>
      </c>
    </row>
    <row r="24" spans="1:24" ht="15" x14ac:dyDescent="0.25">
      <c r="A24" s="31" t="s">
        <v>55</v>
      </c>
      <c r="D24">
        <f>C24*N11</f>
        <v>0</v>
      </c>
      <c r="G24" s="31" t="s">
        <v>39</v>
      </c>
      <c r="H24" s="31"/>
      <c r="J24">
        <f>I24*N9</f>
        <v>0</v>
      </c>
      <c r="O24" s="31" t="s">
        <v>55</v>
      </c>
    </row>
    <row r="26" spans="1:24" ht="15" x14ac:dyDescent="0.25">
      <c r="B26" t="s">
        <v>44</v>
      </c>
      <c r="C26">
        <f>D22</f>
        <v>23.810680500271417</v>
      </c>
      <c r="H26" t="s">
        <v>44</v>
      </c>
      <c r="I26">
        <f>J22</f>
        <v>21.577273195449223</v>
      </c>
      <c r="P26" t="s">
        <v>44</v>
      </c>
      <c r="Q26">
        <f>R22</f>
        <v>7.3938266675169597</v>
      </c>
    </row>
    <row r="27" spans="1:24" ht="15" x14ac:dyDescent="0.25">
      <c r="B27" t="s">
        <v>45</v>
      </c>
      <c r="C27">
        <f>D24+D23</f>
        <v>37.524941946362496</v>
      </c>
      <c r="H27" t="s">
        <v>45</v>
      </c>
      <c r="I27">
        <f>J24+J23</f>
        <v>23.14408132534826</v>
      </c>
      <c r="P27" t="s">
        <v>45</v>
      </c>
      <c r="Q27">
        <f>R24+R23</f>
        <v>24.393185185322078</v>
      </c>
    </row>
    <row r="29" spans="1:24" ht="15" x14ac:dyDescent="0.25">
      <c r="B29" t="s">
        <v>59</v>
      </c>
      <c r="C29">
        <f>(25.65*0.3)*2</f>
        <v>15.389999999999999</v>
      </c>
      <c r="H29" t="s">
        <v>59</v>
      </c>
      <c r="I29">
        <f>(25.65*0.3)*2</f>
        <v>15.389999999999999</v>
      </c>
      <c r="O29" t="s">
        <v>59</v>
      </c>
      <c r="P29">
        <f>(11*0.5)*2</f>
        <v>11</v>
      </c>
      <c r="V29" t="s">
        <v>59</v>
      </c>
      <c r="W29">
        <f>(0.6*4*0.55)*X23</f>
        <v>10.56</v>
      </c>
    </row>
    <row r="30" spans="1:24" ht="15" x14ac:dyDescent="0.25">
      <c r="B30" t="s">
        <v>60</v>
      </c>
      <c r="C30">
        <f>25.65*0.3*0.15</f>
        <v>1.1542499999999998</v>
      </c>
      <c r="H30" t="s">
        <v>60</v>
      </c>
      <c r="I30">
        <f>25.65*0.3*0.15</f>
        <v>1.1542499999999998</v>
      </c>
      <c r="O30" t="s">
        <v>60</v>
      </c>
      <c r="P30">
        <f>11*0.5*0.15</f>
        <v>0.82499999999999996</v>
      </c>
      <c r="V30" t="s">
        <v>60</v>
      </c>
      <c r="W30">
        <f>(0.6*0.55*0.6)*X23</f>
        <v>1.5840000000000001</v>
      </c>
    </row>
    <row r="35" spans="2:16" x14ac:dyDescent="0.45">
      <c r="D35" t="s">
        <v>63</v>
      </c>
      <c r="P35" t="s">
        <v>70</v>
      </c>
    </row>
    <row r="36" spans="2:16" x14ac:dyDescent="0.45">
      <c r="E36" t="s">
        <v>43</v>
      </c>
      <c r="F36" t="s">
        <v>59</v>
      </c>
      <c r="G36" t="s">
        <v>60</v>
      </c>
      <c r="J36">
        <f>((25920+8480)/100)*N8</f>
        <v>84.178092365402847</v>
      </c>
    </row>
    <row r="37" spans="2:16" ht="15" x14ac:dyDescent="0.25">
      <c r="D37" t="s">
        <v>51</v>
      </c>
      <c r="E37">
        <f>427.7+145.2</f>
        <v>572.9</v>
      </c>
      <c r="F37">
        <v>173.14</v>
      </c>
      <c r="G37">
        <v>10.99</v>
      </c>
    </row>
    <row r="38" spans="2:16" ht="15" x14ac:dyDescent="0.25">
      <c r="D38" t="s">
        <v>40</v>
      </c>
      <c r="E38">
        <f>68.9+36+77</f>
        <v>181.9</v>
      </c>
      <c r="F38">
        <v>27.1</v>
      </c>
      <c r="G38">
        <v>1.9</v>
      </c>
    </row>
    <row r="39" spans="2:16" ht="15" x14ac:dyDescent="0.25">
      <c r="D39" t="s">
        <v>38</v>
      </c>
      <c r="E39">
        <f>133+149.1+J36</f>
        <v>366.27809236540287</v>
      </c>
      <c r="F39">
        <v>61.8</v>
      </c>
      <c r="G39">
        <v>12.51</v>
      </c>
    </row>
    <row r="41" spans="2:16" ht="15" x14ac:dyDescent="0.25">
      <c r="D41" t="s">
        <v>50</v>
      </c>
      <c r="E41">
        <f>SUM(E37:E39)</f>
        <v>1121.0780923654029</v>
      </c>
      <c r="F41">
        <f>SUM(F37:F39)</f>
        <v>262.03999999999996</v>
      </c>
      <c r="G41">
        <f>SUM(G37:G39)</f>
        <v>25.4</v>
      </c>
    </row>
    <row r="42" spans="2:16" x14ac:dyDescent="0.45">
      <c r="B42" t="s">
        <v>64</v>
      </c>
      <c r="E42">
        <f>C26+C27+I26+I27+Q26+Q27</f>
        <v>137.84398882027043</v>
      </c>
      <c r="F42">
        <f>C29+I29+P29</f>
        <v>41.78</v>
      </c>
      <c r="G42">
        <f>C30+I30+P30</f>
        <v>3.1334999999999997</v>
      </c>
    </row>
    <row r="43" spans="2:16" x14ac:dyDescent="0.45">
      <c r="B43" t="s">
        <v>65</v>
      </c>
      <c r="E43">
        <f>X20</f>
        <v>74.91270675216083</v>
      </c>
      <c r="F43">
        <f>W29</f>
        <v>10.56</v>
      </c>
      <c r="G43">
        <f>W30</f>
        <v>1.5840000000000001</v>
      </c>
    </row>
    <row r="44" spans="2:16" ht="15" x14ac:dyDescent="0.25">
      <c r="C44" t="s">
        <v>28</v>
      </c>
      <c r="E44">
        <f>E42+E43</f>
        <v>212.75669557243125</v>
      </c>
      <c r="F44">
        <f>F42+F43</f>
        <v>52.34</v>
      </c>
      <c r="G44">
        <f>G42+G43</f>
        <v>4.7174999999999994</v>
      </c>
    </row>
    <row r="45" spans="2:16" ht="15" x14ac:dyDescent="0.25">
      <c r="C45" t="s">
        <v>66</v>
      </c>
      <c r="E45" s="26">
        <f>1-(E44/E41)</f>
        <v>0.81022134227640796</v>
      </c>
      <c r="F45" s="26">
        <f>1-(F44/F41)</f>
        <v>0.80025950236605092</v>
      </c>
      <c r="G45" s="26">
        <f>1-(G44/G41)</f>
        <v>0.81427165354330711</v>
      </c>
    </row>
  </sheetData>
  <mergeCells count="4">
    <mergeCell ref="A1:E1"/>
    <mergeCell ref="G1:K1"/>
    <mergeCell ref="O1:S1"/>
    <mergeCell ref="V1:Z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12</vt:i4>
      </vt:variant>
      <vt:variant>
        <vt:lpstr>Intervalos nomeados</vt:lpstr>
      </vt:variant>
      <vt:variant>
        <vt:i4>1</vt:i4>
      </vt:variant>
    </vt:vector>
  </HeadingPairs>
  <TitlesOfParts>
    <vt:vector size="13" baseType="lpstr">
      <vt:lpstr>BDI</vt:lpstr>
      <vt:lpstr>Resumo bloco A</vt:lpstr>
      <vt:lpstr>Resumo bloco B</vt:lpstr>
      <vt:lpstr>MC - CERCA</vt:lpstr>
      <vt:lpstr>Valores</vt:lpstr>
      <vt:lpstr>MC PAINÉIS</vt:lpstr>
      <vt:lpstr>ABRIGO GERADOR</vt:lpstr>
      <vt:lpstr>Resumo bloco C</vt:lpstr>
      <vt:lpstr>Resumo bloco D</vt:lpstr>
      <vt:lpstr>Resumo bloco E </vt:lpstr>
      <vt:lpstr>Resumo bloco F</vt:lpstr>
      <vt:lpstr>Planilha1</vt:lpstr>
      <vt:lpstr>Valores!Area_de_impressao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Bráulio Souza</dc:creator>
  <cp:lastModifiedBy>Raquel Simas Coutinho</cp:lastModifiedBy>
  <cp:lastPrinted>2022-05-11T13:41:35Z</cp:lastPrinted>
  <dcterms:created xsi:type="dcterms:W3CDTF">2018-11-15T10:49:08Z</dcterms:created>
  <dcterms:modified xsi:type="dcterms:W3CDTF">2022-05-11T13:41:51Z</dcterms:modified>
</cp:coreProperties>
</file>